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G:\My Drive\Annette's Files\BIDS\Bids1920\"/>
    </mc:Choice>
  </mc:AlternateContent>
  <xr:revisionPtr revIDLastSave="0" documentId="8_{AAFDD063-C21C-480F-B12F-30DCE35856C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xport (2)" sheetId="1" r:id="rId1"/>
  </sheets>
  <definedNames>
    <definedName name="_xlnm.Print_Titles" localSheetId="0">'export (2)'!$1:$1</definedName>
  </definedNames>
  <calcPr calcId="191029"/>
</workbook>
</file>

<file path=xl/calcChain.xml><?xml version="1.0" encoding="utf-8"?>
<calcChain xmlns="http://schemas.openxmlformats.org/spreadsheetml/2006/main">
  <c r="A340" i="1" l="1"/>
  <c r="A208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3" i="1"/>
  <c r="A35" i="1"/>
  <c r="A36" i="1"/>
  <c r="A37" i="1"/>
  <c r="A38" i="1"/>
  <c r="A39" i="1"/>
  <c r="A41" i="1"/>
  <c r="A42" i="1"/>
  <c r="A43" i="1"/>
  <c r="A45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10" i="1"/>
  <c r="A111" i="1"/>
  <c r="A113" i="1"/>
  <c r="A115" i="1"/>
  <c r="A116" i="1"/>
  <c r="A117" i="1"/>
  <c r="A118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4" i="1"/>
  <c r="A136" i="1"/>
  <c r="A137" i="1"/>
  <c r="A139" i="1"/>
  <c r="A141" i="1"/>
  <c r="A143" i="1"/>
  <c r="A145" i="1"/>
  <c r="A147" i="1"/>
  <c r="A148" i="1"/>
  <c r="A150" i="1"/>
  <c r="A152" i="1"/>
  <c r="A153" i="1"/>
  <c r="A154" i="1"/>
  <c r="A155" i="1"/>
  <c r="A156" i="1"/>
  <c r="A157" i="1"/>
  <c r="A158" i="1"/>
  <c r="A159" i="1"/>
  <c r="A160" i="1"/>
  <c r="A161" i="1"/>
  <c r="A162" i="1"/>
  <c r="A164" i="1"/>
  <c r="A166" i="1"/>
  <c r="A167" i="1"/>
  <c r="A168" i="1"/>
  <c r="A169" i="1"/>
  <c r="A171" i="1"/>
  <c r="A173" i="1"/>
  <c r="A175" i="1"/>
  <c r="A177" i="1"/>
  <c r="A179" i="1"/>
  <c r="A181" i="1"/>
  <c r="A183" i="1"/>
  <c r="A184" i="1"/>
  <c r="A186" i="1"/>
  <c r="A187" i="1"/>
  <c r="A189" i="1"/>
  <c r="A190" i="1"/>
  <c r="A191" i="1"/>
  <c r="A192" i="1"/>
  <c r="A193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9" i="1"/>
  <c r="A210" i="1"/>
  <c r="A211" i="1"/>
  <c r="A212" i="1"/>
  <c r="A213" i="1"/>
  <c r="A214" i="1"/>
  <c r="A216" i="1"/>
  <c r="A217" i="1"/>
  <c r="A218" i="1"/>
  <c r="A219" i="1"/>
  <c r="A220" i="1"/>
  <c r="A221" i="1"/>
  <c r="A223" i="1"/>
  <c r="A225" i="1"/>
  <c r="A226" i="1"/>
  <c r="A228" i="1"/>
  <c r="A230" i="1"/>
  <c r="A232" i="1"/>
  <c r="A234" i="1"/>
  <c r="A236" i="1"/>
  <c r="A238" i="1"/>
  <c r="A240" i="1"/>
  <c r="A241" i="1"/>
  <c r="A242" i="1"/>
  <c r="A244" i="1"/>
  <c r="A246" i="1"/>
  <c r="A248" i="1"/>
  <c r="A250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5" i="1"/>
  <c r="A266" i="1"/>
  <c r="A267" i="1"/>
  <c r="A268" i="1"/>
  <c r="A269" i="1"/>
  <c r="A271" i="1"/>
  <c r="A272" i="1"/>
  <c r="A273" i="1"/>
  <c r="A274" i="1"/>
  <c r="A275" i="1"/>
  <c r="A277" i="1"/>
  <c r="A279" i="1"/>
  <c r="A281" i="1"/>
  <c r="A282" i="1"/>
  <c r="A284" i="1"/>
  <c r="A286" i="1"/>
  <c r="A287" i="1"/>
  <c r="A288" i="1"/>
  <c r="A289" i="1"/>
  <c r="A290" i="1"/>
  <c r="A292" i="1"/>
  <c r="A294" i="1"/>
  <c r="A296" i="1"/>
  <c r="A297" i="1"/>
  <c r="A298" i="1"/>
  <c r="A299" i="1"/>
  <c r="A301" i="1"/>
  <c r="A303" i="1"/>
  <c r="A305" i="1"/>
  <c r="A307" i="1"/>
  <c r="A309" i="1"/>
  <c r="A311" i="1"/>
  <c r="A313" i="1"/>
  <c r="A315" i="1"/>
  <c r="A317" i="1"/>
  <c r="A319" i="1"/>
  <c r="A320" i="1"/>
  <c r="A321" i="1"/>
  <c r="A322" i="1"/>
  <c r="A323" i="1"/>
  <c r="A324" i="1"/>
  <c r="A326" i="1"/>
  <c r="A328" i="1"/>
  <c r="A329" i="1"/>
  <c r="A330" i="1"/>
  <c r="A331" i="1"/>
  <c r="A333" i="1"/>
  <c r="A334" i="1"/>
  <c r="A335" i="1"/>
  <c r="A336" i="1"/>
  <c r="A337" i="1"/>
  <c r="A338" i="1"/>
  <c r="A341" i="1"/>
  <c r="A342" i="1"/>
  <c r="A343" i="1"/>
  <c r="A344" i="1"/>
  <c r="A345" i="1"/>
  <c r="A346" i="1"/>
  <c r="A347" i="1"/>
  <c r="A348" i="1"/>
  <c r="A349" i="1"/>
  <c r="A351" i="1"/>
  <c r="A353" i="1"/>
  <c r="A355" i="1"/>
  <c r="A357" i="1"/>
  <c r="A359" i="1"/>
  <c r="A360" i="1"/>
  <c r="A361" i="1"/>
  <c r="A363" i="1"/>
  <c r="A364" i="1"/>
  <c r="A365" i="1"/>
  <c r="A366" i="1"/>
  <c r="A368" i="1"/>
  <c r="A369" i="1"/>
  <c r="A370" i="1"/>
  <c r="A371" i="1"/>
  <c r="A373" i="1"/>
  <c r="A375" i="1"/>
  <c r="A376" i="1"/>
  <c r="A377" i="1"/>
  <c r="A378" i="1"/>
  <c r="A380" i="1"/>
  <c r="A381" i="1"/>
  <c r="A383" i="1"/>
  <c r="A385" i="1"/>
  <c r="A387" i="1"/>
  <c r="A389" i="1"/>
  <c r="A391" i="1"/>
  <c r="A392" i="1"/>
  <c r="A393" i="1"/>
  <c r="A394" i="1"/>
  <c r="A395" i="1"/>
  <c r="A396" i="1"/>
  <c r="A397" i="1"/>
  <c r="A398" i="1"/>
  <c r="A399" i="1"/>
  <c r="A400" i="1"/>
  <c r="A401" i="1"/>
  <c r="A403" i="1"/>
  <c r="A405" i="1"/>
  <c r="A406" i="1"/>
  <c r="A407" i="1"/>
  <c r="A409" i="1"/>
  <c r="A411" i="1"/>
  <c r="A413" i="1"/>
  <c r="A415" i="1"/>
  <c r="A417" i="1"/>
  <c r="A418" i="1"/>
  <c r="A419" i="1"/>
  <c r="A420" i="1"/>
  <c r="A421" i="1"/>
  <c r="A422" i="1"/>
  <c r="A424" i="1"/>
  <c r="A425" i="1"/>
  <c r="A426" i="1"/>
  <c r="A427" i="1"/>
  <c r="A428" i="1"/>
  <c r="A429" i="1"/>
  <c r="A430" i="1"/>
  <c r="A432" i="1"/>
  <c r="A433" i="1"/>
  <c r="A434" i="1"/>
  <c r="A436" i="1"/>
  <c r="A438" i="1"/>
  <c r="A440" i="1"/>
  <c r="A442" i="1"/>
  <c r="A443" i="1"/>
  <c r="A444" i="1"/>
  <c r="A445" i="1"/>
  <c r="A446" i="1"/>
  <c r="A447" i="1"/>
  <c r="A448" i="1"/>
  <c r="A449" i="1"/>
  <c r="A451" i="1"/>
  <c r="A452" i="1"/>
  <c r="A453" i="1"/>
  <c r="A454" i="1"/>
  <c r="A455" i="1"/>
  <c r="A456" i="1"/>
  <c r="A457" i="1"/>
  <c r="A458" i="1"/>
  <c r="A459" i="1"/>
  <c r="A460" i="1"/>
  <c r="A462" i="1"/>
  <c r="A464" i="1"/>
  <c r="A465" i="1"/>
  <c r="A466" i="1"/>
  <c r="A467" i="1"/>
  <c r="A468" i="1"/>
  <c r="A469" i="1"/>
  <c r="A470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6" i="1"/>
  <c r="A488" i="1"/>
  <c r="A489" i="1"/>
  <c r="A491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4" i="1"/>
  <c r="A515" i="1"/>
  <c r="A516" i="1"/>
  <c r="A517" i="1"/>
  <c r="A518" i="1"/>
  <c r="A520" i="1"/>
  <c r="A522" i="1"/>
  <c r="A523" i="1"/>
  <c r="A524" i="1"/>
  <c r="A525" i="1"/>
  <c r="A526" i="1"/>
  <c r="A528" i="1"/>
  <c r="A529" i="1"/>
  <c r="A530" i="1"/>
  <c r="A532" i="1"/>
  <c r="A534" i="1"/>
  <c r="A536" i="1"/>
</calcChain>
</file>

<file path=xl/sharedStrings.xml><?xml version="1.0" encoding="utf-8"?>
<sst xmlns="http://schemas.openxmlformats.org/spreadsheetml/2006/main" count="1913" uniqueCount="891">
  <si>
    <t>Item</t>
  </si>
  <si>
    <t>Each Available</t>
  </si>
  <si>
    <t>Pack</t>
  </si>
  <si>
    <t>Size</t>
  </si>
  <si>
    <t>Brand</t>
  </si>
  <si>
    <t>Description</t>
  </si>
  <si>
    <t>N</t>
  </si>
  <si>
    <t>5#</t>
  </si>
  <si>
    <t>Y</t>
  </si>
  <si>
    <t>IBP</t>
  </si>
  <si>
    <t>P.L.</t>
  </si>
  <si>
    <t>5# CW</t>
  </si>
  <si>
    <t>12 OZCW</t>
  </si>
  <si>
    <t>BEEF NY STRIP STEAK C/C CH</t>
  </si>
  <si>
    <t>8 OZ CW</t>
  </si>
  <si>
    <t>BEEF TENDERLOIN C/C SEL SM/SS OFF</t>
  </si>
  <si>
    <t>24 CT</t>
  </si>
  <si>
    <t>FRESH</t>
  </si>
  <si>
    <t>ANISE/FENNEL</t>
  </si>
  <si>
    <t>6 CT</t>
  </si>
  <si>
    <t>ANISE/FENNEL 6 CT</t>
  </si>
  <si>
    <t>1#</t>
  </si>
  <si>
    <t>CARROTS LONG CELLO</t>
  </si>
  <si>
    <t>3 CT</t>
  </si>
  <si>
    <t>CAULIFLOWER</t>
  </si>
  <si>
    <t>CT</t>
  </si>
  <si>
    <t>CALIF</t>
  </si>
  <si>
    <t>CELERY</t>
  </si>
  <si>
    <t>LETTUCE ICEBERG</t>
  </si>
  <si>
    <t>N.Y.</t>
  </si>
  <si>
    <t>MUSHROOMS PORTABELLA</t>
  </si>
  <si>
    <t>25#</t>
  </si>
  <si>
    <t>GREEN PEPPERS</t>
  </si>
  <si>
    <t>15#</t>
  </si>
  <si>
    <t>PEPPERS RED LARGE</t>
  </si>
  <si>
    <t>PEPPERS CHOICE/SUNTAN</t>
  </si>
  <si>
    <t>11#</t>
  </si>
  <si>
    <t>PEPPERS YELLOW</t>
  </si>
  <si>
    <t>50#BAG</t>
  </si>
  <si>
    <t>POTATO RED A SIZE</t>
  </si>
  <si>
    <t>40#</t>
  </si>
  <si>
    <t>N.J.</t>
  </si>
  <si>
    <t>POTATO SWEET YAMS MEDIUM</t>
  </si>
  <si>
    <t>ROMAINE HEARTS</t>
  </si>
  <si>
    <t>SQUASH GREEN ZUCCHINI</t>
  </si>
  <si>
    <t>SQUASH YELLOW</t>
  </si>
  <si>
    <t>LB</t>
  </si>
  <si>
    <t>TOMATOES 6X6</t>
  </si>
  <si>
    <t>PINT</t>
  </si>
  <si>
    <t>TOMATO CHERRY</t>
  </si>
  <si>
    <t>PKG</t>
  </si>
  <si>
    <t>TOMATOES GRAPE</t>
  </si>
  <si>
    <t>100CT</t>
  </si>
  <si>
    <t>WASHGT</t>
  </si>
  <si>
    <t>APPLES GRANNY SMITH</t>
  </si>
  <si>
    <t>5 #</t>
  </si>
  <si>
    <t>DRIED FIGS(BLACK-MISSION)</t>
  </si>
  <si>
    <t>140 CT</t>
  </si>
  <si>
    <t>APPLES NY-140CT</t>
  </si>
  <si>
    <t>100 CT</t>
  </si>
  <si>
    <t>APPLES RED DELICIOUS</t>
  </si>
  <si>
    <t>LARGE</t>
  </si>
  <si>
    <t>BANANAS LARGE ON TURN</t>
  </si>
  <si>
    <t>16#</t>
  </si>
  <si>
    <t>GRAPES GREEN SEEDLESS</t>
  </si>
  <si>
    <t>TAYLOR</t>
  </si>
  <si>
    <t>CHOP ICEBERG/ROM BLEND</t>
  </si>
  <si>
    <t>2#</t>
  </si>
  <si>
    <t>ROMAINE CHOPPED</t>
  </si>
  <si>
    <t>6#CW</t>
  </si>
  <si>
    <t>BEEF TENDERLOIN PEELED CH</t>
  </si>
  <si>
    <t>15# CW</t>
  </si>
  <si>
    <t>BEEF RIBEYE BNLS 2" LIP CH</t>
  </si>
  <si>
    <t>1PCCW</t>
  </si>
  <si>
    <t>PORK TENDER BNL VP 16 CT</t>
  </si>
  <si>
    <t>14# CW</t>
  </si>
  <si>
    <t>BEEF STRIP LOIN 0X1 CH</t>
  </si>
  <si>
    <t>9# CW</t>
  </si>
  <si>
    <t>PORK LOIN BNLS C/C VP</t>
  </si>
  <si>
    <t>3#</t>
  </si>
  <si>
    <t>MUSHROOMS SHIITAKE GRADE A</t>
  </si>
  <si>
    <t>ROMAINE LETTUCE</t>
  </si>
  <si>
    <t>SOUTHS</t>
  </si>
  <si>
    <t>TWINE CONE 1 LB 24 PLY</t>
  </si>
  <si>
    <t>ASPARAGUS LARGE-NJ</t>
  </si>
  <si>
    <t>BEANS FRENCH HARICOTVERT</t>
  </si>
  <si>
    <t>20#</t>
  </si>
  <si>
    <t>BROCCOLI CROWNS</t>
  </si>
  <si>
    <t>MESCLUN SPRING-MIX</t>
  </si>
  <si>
    <t>10#</t>
  </si>
  <si>
    <t>MUSHROOMS FOODSERVICE</t>
  </si>
  <si>
    <t>MUSHROOMS CRIMINI</t>
  </si>
  <si>
    <t>ONIONS YELLOW 3#</t>
  </si>
  <si>
    <t>12 BCH</t>
  </si>
  <si>
    <t>PARSLEY ITALIAN PLAIN</t>
  </si>
  <si>
    <t>PEAS SUGAR SNAP</t>
  </si>
  <si>
    <t>POTATO  JUMBO CHEF</t>
  </si>
  <si>
    <t>FINGERLING POTATOES</t>
  </si>
  <si>
    <t>POTATO RED B SIZE</t>
  </si>
  <si>
    <t>3 #</t>
  </si>
  <si>
    <t>SPINACH BABY</t>
  </si>
  <si>
    <t>2.5#</t>
  </si>
  <si>
    <t>SPINACH FLAT TRIPLE-WASHED</t>
  </si>
  <si>
    <t>TOMATOES ROMA</t>
  </si>
  <si>
    <t>6 PT</t>
  </si>
  <si>
    <t>TOMATOES GRAPE 6 PACK</t>
  </si>
  <si>
    <t>6#</t>
  </si>
  <si>
    <t>GRAPES RED SEEDLESS</t>
  </si>
  <si>
    <t>12 CT</t>
  </si>
  <si>
    <t>LIMES GREEN</t>
  </si>
  <si>
    <t>13#AVG</t>
  </si>
  <si>
    <t>TEX</t>
  </si>
  <si>
    <t>WATERMELONS SEEDLESS EACH</t>
  </si>
  <si>
    <t>88 CT</t>
  </si>
  <si>
    <t>ORANGES 88CT VALENCIA</t>
  </si>
  <si>
    <t>6-7CT</t>
  </si>
  <si>
    <t>PINEAPPLES GOLDEN RIPE</t>
  </si>
  <si>
    <t>1LB</t>
  </si>
  <si>
    <t>STRAWBERRIES</t>
  </si>
  <si>
    <t>BASIL 2#</t>
  </si>
  <si>
    <t>4 OZ</t>
  </si>
  <si>
    <t>CHIVES</t>
  </si>
  <si>
    <t>4 OZ EA</t>
  </si>
  <si>
    <t>MINT</t>
  </si>
  <si>
    <t>OREGANO</t>
  </si>
  <si>
    <t>SAGE</t>
  </si>
  <si>
    <t>MOORES</t>
  </si>
  <si>
    <t>ONION RINGS 3/8" BATTER DIPT   406130</t>
  </si>
  <si>
    <t>HERSHEY</t>
  </si>
  <si>
    <t>CHOC CHIPS SEMISWEET    K</t>
  </si>
  <si>
    <t>252 CT</t>
  </si>
  <si>
    <t>ROLAND</t>
  </si>
  <si>
    <t>CHOCOLATE CUP CORDIAL FOILED  K</t>
  </si>
  <si>
    <t>50#</t>
  </si>
  <si>
    <t>GOLD MEDAL</t>
  </si>
  <si>
    <t>FLOUR SEMOLINA #1       K      492521</t>
  </si>
  <si>
    <t>DOMINO</t>
  </si>
  <si>
    <t>SUGAR LIGHT BROWN       K      168277</t>
  </si>
  <si>
    <t>3 GAL</t>
  </si>
  <si>
    <t>HEINZ</t>
  </si>
  <si>
    <t>KETCHUP VOL PAK    K</t>
  </si>
  <si>
    <t>DONPEP</t>
  </si>
  <si>
    <t>SAUCE PIZZA PREPARED    K</t>
  </si>
  <si>
    <t>PAR EX</t>
  </si>
  <si>
    <t>RICE PARBOILED                 211077</t>
  </si>
  <si>
    <t>CHILL RIPE</t>
  </si>
  <si>
    <t>MCCAIN</t>
  </si>
  <si>
    <t>FRIES HARVEST SPL CRNKL 7/16" 466765</t>
  </si>
  <si>
    <t>OREIDA</t>
  </si>
  <si>
    <t>POTATO PUFFS PLAIN</t>
  </si>
  <si>
    <t>1000 CT</t>
  </si>
  <si>
    <t>HANDGUARD</t>
  </si>
  <si>
    <t>SKEWER BAMBOO 8"               595811</t>
  </si>
  <si>
    <t>DART</t>
  </si>
  <si>
    <t>CONT FOAM HINGED 1 COMP 9X9</t>
  </si>
  <si>
    <t>2000'</t>
  </si>
  <si>
    <t>COMPANIONS</t>
  </si>
  <si>
    <t>WRAP PLASTIC 18" X 2000'</t>
  </si>
  <si>
    <t>WRAP PLASTIC 12" X 2000'</t>
  </si>
  <si>
    <t>35#</t>
  </si>
  <si>
    <t>ADMIRATION</t>
  </si>
  <si>
    <t>OIL PEANUT              K</t>
  </si>
  <si>
    <t>2.5CW</t>
  </si>
  <si>
    <t>HORMEL</t>
  </si>
  <si>
    <t>RIB BABY BACK 2.5 DN</t>
  </si>
  <si>
    <t>8 OZ</t>
  </si>
  <si>
    <t>ANGUS BUTCHERS</t>
  </si>
  <si>
    <t>BURGER ANGUS STEAK 2-1 FRESH</t>
  </si>
  <si>
    <t>22 OZ</t>
  </si>
  <si>
    <t>CORNISH HENS</t>
  </si>
  <si>
    <t>1 OZ</t>
  </si>
  <si>
    <t>RED LABEL</t>
  </si>
  <si>
    <t>CHICK WING HOMESTYLE BNLS BRD FC NAE</t>
  </si>
  <si>
    <t>1#CAN</t>
  </si>
  <si>
    <t>HANDY</t>
  </si>
  <si>
    <t>CRAB MEAT JUMBO LUMP 55-75     601386</t>
  </si>
  <si>
    <t>KIKKO</t>
  </si>
  <si>
    <t>ARTUSO</t>
  </si>
  <si>
    <t>SHELLS CANNOLI SMALL            MP233</t>
  </si>
  <si>
    <t>BROOKLYN</t>
  </si>
  <si>
    <t>BAGELS VARIETY PARBAKED  K</t>
  </si>
  <si>
    <t>35.3 OZ</t>
  </si>
  <si>
    <t>RICH'S</t>
  </si>
  <si>
    <t>BREAD ITALIAN PANINI SLICED</t>
  </si>
  <si>
    <t>2 OZ</t>
  </si>
  <si>
    <t>PENANT</t>
  </si>
  <si>
    <t>DOUGH PUFF PASTRY 5 X 5          1787</t>
  </si>
  <si>
    <t>PIANTEDOSI</t>
  </si>
  <si>
    <t>ROLL DINNER ASST</t>
  </si>
  <si>
    <t>1.75 OZ</t>
  </si>
  <si>
    <t>ROLL BURGER SLICED 4"   K</t>
  </si>
  <si>
    <t>1.5Z</t>
  </si>
  <si>
    <t>ROLL HOT DOG CONEY ISLAND</t>
  </si>
  <si>
    <t>GLDDIP</t>
  </si>
  <si>
    <t>BATTER ENGLSH FISH N' CHP      375187</t>
  </si>
  <si>
    <t>NBC</t>
  </si>
  <si>
    <t>CRUMBS GRAHAM CRACKER          376093</t>
  </si>
  <si>
    <t>MUFFIN MIX VARIETY      K      396155</t>
  </si>
  <si>
    <t>1 GAL</t>
  </si>
  <si>
    <t>SAUCE TERIYAKI        K        563556</t>
  </si>
  <si>
    <t>32 OZ</t>
  </si>
  <si>
    <t>P&amp;G</t>
  </si>
  <si>
    <t>COMET LIQUID W/BLEACH SPRAY    342832</t>
  </si>
  <si>
    <t>121 OZ</t>
  </si>
  <si>
    <t>CLORX</t>
  </si>
  <si>
    <t>BLEACH</t>
  </si>
  <si>
    <t>10 CT</t>
  </si>
  <si>
    <t>PURX</t>
  </si>
  <si>
    <t>SCOURING PADS BRILLO           431958</t>
  </si>
  <si>
    <t>20 CT</t>
  </si>
  <si>
    <t>ROYAL</t>
  </si>
  <si>
    <t>PADS GREEN SCRUB 6X9</t>
  </si>
  <si>
    <t>200 CT</t>
  </si>
  <si>
    <t>SHORE</t>
  </si>
  <si>
    <t>WIPES PINK WHITE 13"X20"</t>
  </si>
  <si>
    <t>2.25 OZ</t>
  </si>
  <si>
    <t>BMCR</t>
  </si>
  <si>
    <t>COFFEE 100% COLOMBIAN</t>
  </si>
  <si>
    <t>50 CT</t>
  </si>
  <si>
    <t>SWISS MISS</t>
  </si>
  <si>
    <t>HOT CHOCOLATE MIX          K</t>
  </si>
  <si>
    <t>12 OZ</t>
  </si>
  <si>
    <t>SARATOGA</t>
  </si>
  <si>
    <t>WATER SPRING SPARKLING</t>
  </si>
  <si>
    <t>16.9Z</t>
  </si>
  <si>
    <t>POLAND</t>
  </si>
  <si>
    <t>WATER POLAND SPRING    K</t>
  </si>
  <si>
    <t>ADRNDK</t>
  </si>
  <si>
    <t>SODA GINGERALE</t>
  </si>
  <si>
    <t>SODA COLA</t>
  </si>
  <si>
    <t>12/6CT</t>
  </si>
  <si>
    <t>COOKIE OREO CREME SS    K      638594</t>
  </si>
  <si>
    <t>12/1.7Z</t>
  </si>
  <si>
    <t>SNACKWELL</t>
  </si>
  <si>
    <t>COOKIE VAN CREME SNDWCH        599544</t>
  </si>
  <si>
    <t>12/2 CT</t>
  </si>
  <si>
    <t>COOKIE DEVILS FOOD             599536</t>
  </si>
  <si>
    <t>2.25Z</t>
  </si>
  <si>
    <t>BRILL</t>
  </si>
  <si>
    <t>COOKIE RASPBERRY FILLED K      511411</t>
  </si>
  <si>
    <t>1.5 OZ</t>
  </si>
  <si>
    <t>DAVIDS</t>
  </si>
  <si>
    <t>COOKIE DOUGH SUGAR            535193</t>
  </si>
  <si>
    <t>17#</t>
  </si>
  <si>
    <t>BUTTER CHIPS CONTINENTAL 59 CT</t>
  </si>
  <si>
    <t>CABOT</t>
  </si>
  <si>
    <t>BUTTER SOLIDS SALTED AA K</t>
  </si>
  <si>
    <t>CHEESE AMERICAN WHITE 120 SLICE</t>
  </si>
  <si>
    <t>GREAT LAKES</t>
  </si>
  <si>
    <t>CHEESE CHED YELLOW MILD CUBE</t>
  </si>
  <si>
    <t>10# CW</t>
  </si>
  <si>
    <t>MCCADAM</t>
  </si>
  <si>
    <t>CHEESE CHED WHITE X-SHARP  K</t>
  </si>
  <si>
    <t>CHEESE CHED SHRED YELLOW MILD</t>
  </si>
  <si>
    <t>CHEESE CHED MONTEREY JACK SHRED FANCY</t>
  </si>
  <si>
    <t>PHILA</t>
  </si>
  <si>
    <t>CHEESE CREAM PLAIN             377737</t>
  </si>
  <si>
    <t>GALBANI</t>
  </si>
  <si>
    <t>CHEESE MOZZ SHRED PS K</t>
  </si>
  <si>
    <t>MAMAFRAN</t>
  </si>
  <si>
    <t>CHEESE PARMESAN GRATED IMPORTED</t>
  </si>
  <si>
    <t>CUCINA</t>
  </si>
  <si>
    <t>CHEESE PARMESAN SHRED FRESH GF</t>
  </si>
  <si>
    <t>8#CW</t>
  </si>
  <si>
    <t>SOMMERMAID</t>
  </si>
  <si>
    <t>CHEESE SWISS 4X4 SANDWICH CUT</t>
  </si>
  <si>
    <t>10.5 OZ</t>
  </si>
  <si>
    <t>CAPRA</t>
  </si>
  <si>
    <t>CHEESE GOAT LOG</t>
  </si>
  <si>
    <t>CREAM HEAVY 36% UHT</t>
  </si>
  <si>
    <t>HOOD</t>
  </si>
  <si>
    <t>CREAMER HALF &amp; HALF UHT K</t>
  </si>
  <si>
    <t>.38Z</t>
  </si>
  <si>
    <t>CREAMER HALF &amp; HALF PC SHELF STABLE</t>
  </si>
  <si>
    <t>400CT</t>
  </si>
  <si>
    <t>CREAMER HALF &amp; HALF PC  K</t>
  </si>
  <si>
    <t>AXELROD</t>
  </si>
  <si>
    <t>MILK BUTTERMILK LOWFAT</t>
  </si>
  <si>
    <t>64 OZ</t>
  </si>
  <si>
    <t>MILK 2% REDUCED FAT UHT     K</t>
  </si>
  <si>
    <t>INTERNATIONAL</t>
  </si>
  <si>
    <t>CREAMER CHOCOLATE CARMEL PC    568695</t>
  </si>
  <si>
    <t>COFFEE MATE</t>
  </si>
  <si>
    <t>CREAMER FRENCH VANILLA PC      356550</t>
  </si>
  <si>
    <t>DOZ</t>
  </si>
  <si>
    <t>ESBENSHADE</t>
  </si>
  <si>
    <t>EGGS WHITE LARGE GRADE AA</t>
  </si>
  <si>
    <t>5 LB</t>
  </si>
  <si>
    <t>BAY VALLEY</t>
  </si>
  <si>
    <t>MILK INSTANT DRY NONFAT        572796</t>
  </si>
  <si>
    <t>SOUR CREAM              K</t>
  </si>
  <si>
    <t>ICE CREAM CHOCOLATE</t>
  </si>
  <si>
    <t>ICE CREAM STRAWBERRY</t>
  </si>
  <si>
    <t>ICE CREAM VANILLA</t>
  </si>
  <si>
    <t>HELLMAN</t>
  </si>
  <si>
    <t>MAYONNAISE EXTRA HEAVY   K       9027</t>
  </si>
  <si>
    <t>MUSTARD YELLOW JUG PLASTIC     394915</t>
  </si>
  <si>
    <t>CATTLE</t>
  </si>
  <si>
    <t>SAUCE BBQ CLASSIC KC           268103</t>
  </si>
  <si>
    <t>FRANKS</t>
  </si>
  <si>
    <t>SAUCE HOT PLASTIC      K       268060</t>
  </si>
  <si>
    <t>30 OZ</t>
  </si>
  <si>
    <t>CARLAS</t>
  </si>
  <si>
    <t>SAUCE PESTO BASIL FROZEN       442691</t>
  </si>
  <si>
    <t>17 OZ</t>
  </si>
  <si>
    <t>HUY FONG</t>
  </si>
  <si>
    <t>SAUCE SRIRACHA CHILI</t>
  </si>
  <si>
    <t>MINORS</t>
  </si>
  <si>
    <t>SAUCE SWEET &amp; SOUR JUG         381651</t>
  </si>
  <si>
    <t>TABASC</t>
  </si>
  <si>
    <t>SAUCE TABASCO           K</t>
  </si>
  <si>
    <t>VINEGAR CIDER           K</t>
  </si>
  <si>
    <t>DOMINC</t>
  </si>
  <si>
    <t>TORTELLINI CHEESE TRICOLOR     464790</t>
  </si>
  <si>
    <t>COMARK</t>
  </si>
  <si>
    <t>THERMOMETER POCKET 0/220       531725</t>
  </si>
  <si>
    <t>EA</t>
  </si>
  <si>
    <t>THERMOMETER POCKET DIGITAL     554587</t>
  </si>
  <si>
    <t>COOPER</t>
  </si>
  <si>
    <t>THERMOMETER DIGITAL PCKT       437225</t>
  </si>
  <si>
    <t>SEASIDE</t>
  </si>
  <si>
    <t>HADDOCK FILET SKINLESS IQF 8-10</t>
  </si>
  <si>
    <t>ICELANDIC</t>
  </si>
  <si>
    <t>SALMON FILET 6 OZ IVP</t>
  </si>
  <si>
    <t>4#</t>
  </si>
  <si>
    <t>STOCK</t>
  </si>
  <si>
    <t>SHRIMP WHITE S/O 26-30</t>
  </si>
  <si>
    <t>48 OZ</t>
  </si>
  <si>
    <t>OCEAN SPRAY</t>
  </si>
  <si>
    <t>CRANBERRIES SWEETENED DRIED</t>
  </si>
  <si>
    <t>SUNKIST</t>
  </si>
  <si>
    <t>JUICE LEMONADE 15% CONC 4+1    645603</t>
  </si>
  <si>
    <t>BACON 13/17 LAYOUT APPLEWOOD GRIDL MASTR</t>
  </si>
  <si>
    <t>PIERCE</t>
  </si>
  <si>
    <t>CHICK POPCORN ORIGINAL BRD FC</t>
  </si>
  <si>
    <t>WAYNE FARMS</t>
  </si>
  <si>
    <t>CHICK TENDER BRD LIGHTLY RTC   589848</t>
  </si>
  <si>
    <t>5-6 Z</t>
  </si>
  <si>
    <t>MAPLEL</t>
  </si>
  <si>
    <t>DUCK BRST BNLS SKIN ON         474815</t>
  </si>
  <si>
    <t>FARMLAND</t>
  </si>
  <si>
    <t>FRANKS BEEF 8-1 6" GOLDMEDAL</t>
  </si>
  <si>
    <t>5.3Z</t>
  </si>
  <si>
    <t>BROILER BRAND</t>
  </si>
  <si>
    <t>BURGER BEEF PATTY 3-1</t>
  </si>
  <si>
    <t>BURGER ANGUS SILVER MEDAL 4-1</t>
  </si>
  <si>
    <t>BEEF GROUND 80-20</t>
  </si>
  <si>
    <t>CAMPIONI</t>
  </si>
  <si>
    <t>PEPPERONI SLICED 14-16 SL/OZ</t>
  </si>
  <si>
    <t>FONT</t>
  </si>
  <si>
    <t>PIZZA TOPPING MILD ITAL SAUSAGE ALL NAT.</t>
  </si>
  <si>
    <t>14 OZCW</t>
  </si>
  <si>
    <t>BEEF RIBEYE STEAK BNLS CH</t>
  </si>
  <si>
    <t>BONES CHICKEN</t>
  </si>
  <si>
    <t>SUMMIT R</t>
  </si>
  <si>
    <t>VEAL LEG CUTLET POUNDED</t>
  </si>
  <si>
    <t>MOUNTAIRE</t>
  </si>
  <si>
    <t>CHICKEN WING JPW 6-9CT</t>
  </si>
  <si>
    <t>CHICK BRST 6OZ SINGLE LOBE SUPER TRIM</t>
  </si>
  <si>
    <t>1.5# CW</t>
  </si>
  <si>
    <t>PILGRIM</t>
  </si>
  <si>
    <t>CHICK HALF SPLIT FRYER 1.5 LB</t>
  </si>
  <si>
    <t>40 OZ</t>
  </si>
  <si>
    <t>SKIPPY</t>
  </si>
  <si>
    <t>PEANUT BUTTER CREAMY    K      320991</t>
  </si>
  <si>
    <t>OREO PIECES MD CRNCH    K      377999</t>
  </si>
  <si>
    <t>LAYS</t>
  </si>
  <si>
    <t>POTATO CHIPS LAY'S</t>
  </si>
  <si>
    <t>.7 OZ</t>
  </si>
  <si>
    <t>RLDGLD</t>
  </si>
  <si>
    <t>PRETZELS HEARTZEL L/S</t>
  </si>
  <si>
    <t>SUNCHIP</t>
  </si>
  <si>
    <t>SUNCHIPS ORIGINAL       K</t>
  </si>
  <si>
    <t>1.5 Z</t>
  </si>
  <si>
    <t>CHIPS VARIETY PACK LSS</t>
  </si>
  <si>
    <t>TERRA</t>
  </si>
  <si>
    <t>CHIPS TERRA ORIGINAL GF        456337</t>
  </si>
  <si>
    <t>DIVO</t>
  </si>
  <si>
    <t>OIL BLENDED 90/10       K</t>
  </si>
  <si>
    <t>56 OZ</t>
  </si>
  <si>
    <t>AMBROSIA</t>
  </si>
  <si>
    <t>OIL SESAME PURE         K</t>
  </si>
  <si>
    <t>OIL FRYING CANOLA       K</t>
  </si>
  <si>
    <t>SOLO</t>
  </si>
  <si>
    <t>CUP HOT 12 OZ PAPER</t>
  </si>
  <si>
    <t>LID DOME HOT 12/16/20 OZ</t>
  </si>
  <si>
    <t>250 CT</t>
  </si>
  <si>
    <t>CUP SOUFFLE 2 OZ PLASTIC</t>
  </si>
  <si>
    <t>FABRIKAL</t>
  </si>
  <si>
    <t>LID DELI CONT 8-32 OZ</t>
  </si>
  <si>
    <t>CONT DELI 16 OZ CLR ROUND</t>
  </si>
  <si>
    <t>125CT</t>
  </si>
  <si>
    <t>PLATES PAPER 6" PL COATED</t>
  </si>
  <si>
    <t>125 CT</t>
  </si>
  <si>
    <t>PLATE PAPER 8.5" POLY COATED</t>
  </si>
  <si>
    <t>SPOON SOUP PLAST MED WGT</t>
  </si>
  <si>
    <t>TEASPOON PLAST MED WGT</t>
  </si>
  <si>
    <t>BEST V</t>
  </si>
  <si>
    <t>APRON BIB WHT                  379509</t>
  </si>
  <si>
    <t>GLOVE LATEX LRG POWDERED       606311</t>
  </si>
  <si>
    <t>GLOVE LATEX XLG PWDRD          488677</t>
  </si>
  <si>
    <t>GLOVE VINYL MED PWDR FREE      606292</t>
  </si>
  <si>
    <t>GLOVE VINYL LGE PWDR FREE      606293</t>
  </si>
  <si>
    <t>BAGS QUART DOUBLE ZIPPER</t>
  </si>
  <si>
    <t>BAGS 1 GAL DOUBLE ZIPPER</t>
  </si>
  <si>
    <t>TOWEL BAR MOP 100% COTTON      379560</t>
  </si>
  <si>
    <t>BROWN</t>
  </si>
  <si>
    <t>PANLINER QUILON 16X24   K      388944</t>
  </si>
  <si>
    <t>500'</t>
  </si>
  <si>
    <t>HFA</t>
  </si>
  <si>
    <t>WRAP ALUM FOIL STD 18"         476079</t>
  </si>
  <si>
    <t>WRAP PLASTIC 24"X2000'</t>
  </si>
  <si>
    <t>CARROT JUMBO LOOSE</t>
  </si>
  <si>
    <t>CARROTS JUMBO 25#</t>
  </si>
  <si>
    <t>5#BAG</t>
  </si>
  <si>
    <t>GARLIC COLOSSAL</t>
  </si>
  <si>
    <t>CELERY 6 CT</t>
  </si>
  <si>
    <t>CUCUMBERS-SPLIT PACK-6</t>
  </si>
  <si>
    <t>GARLIC PEELED #1-LARGE</t>
  </si>
  <si>
    <t>GINGER</t>
  </si>
  <si>
    <t>MUSHROOMS LARGE 3#</t>
  </si>
  <si>
    <t>LBS</t>
  </si>
  <si>
    <t>TEXAS</t>
  </si>
  <si>
    <t>ONIONS JUMBO SPANISH YELLOW</t>
  </si>
  <si>
    <t>ONIONS SPANISH</t>
  </si>
  <si>
    <t>1 LB</t>
  </si>
  <si>
    <t>PARSLEY CURLY-TRIMMED</t>
  </si>
  <si>
    <t>PEPPERS GREEN XLARGE</t>
  </si>
  <si>
    <t>PEPPERS RED 6PK</t>
  </si>
  <si>
    <t>FLOR</t>
  </si>
  <si>
    <t>PEPPERS JALAPENO</t>
  </si>
  <si>
    <t>IDAHO</t>
  </si>
  <si>
    <t>POTATO 70CT RUSSET</t>
  </si>
  <si>
    <t>RED</t>
  </si>
  <si>
    <t>POTATO RED POLY</t>
  </si>
  <si>
    <t>2 #</t>
  </si>
  <si>
    <t>SCALLIONS</t>
  </si>
  <si>
    <t>SHALLOTS PEELED</t>
  </si>
  <si>
    <t>LEMONS 12PK</t>
  </si>
  <si>
    <t>BROCCOLI  FLORETTES</t>
  </si>
  <si>
    <t>SALAD MIX TOSSED</t>
  </si>
  <si>
    <t>BASIL 4 OZ</t>
  </si>
  <si>
    <t>DILL</t>
  </si>
  <si>
    <t>ROSEMARY</t>
  </si>
  <si>
    <t>THYME</t>
  </si>
  <si>
    <t>B&amp;G</t>
  </si>
  <si>
    <t>PICKLE DILL KOSHER WHL  K</t>
  </si>
  <si>
    <t>KNORR</t>
  </si>
  <si>
    <t>BASE BEEF LIQUID CONCENTRATE     9681</t>
  </si>
  <si>
    <t>BASE CHICKEN LIQUID CONC        27444</t>
  </si>
  <si>
    <t>SWANSON</t>
  </si>
  <si>
    <t>SOUP CHICKEN BROTH</t>
  </si>
  <si>
    <t>MAHI MAHI FILET 8 OZ PORTION</t>
  </si>
  <si>
    <t>GOLDEN CRISP</t>
  </si>
  <si>
    <t>CHEESE STICK MOZZ BATT         409554</t>
  </si>
  <si>
    <t>DURKEE</t>
  </si>
  <si>
    <t>SPICE CURRY POWDER K</t>
  </si>
  <si>
    <t>25 OZ</t>
  </si>
  <si>
    <t>SEASONING JAMAICAN JERK</t>
  </si>
  <si>
    <t>28 OZ</t>
  </si>
  <si>
    <t>SPICE PEPPER LEMON K</t>
  </si>
  <si>
    <t>23 OZ</t>
  </si>
  <si>
    <t>SPICE MUSTARD SEED WHOLE</t>
  </si>
  <si>
    <t>16 OZ</t>
  </si>
  <si>
    <t>SPICE PEPPER CAYENNE K</t>
  </si>
  <si>
    <t>6 OZ</t>
  </si>
  <si>
    <t>SPICE ROSEMARY LEAVES WHOLE K</t>
  </si>
  <si>
    <t>EXTRACT ALMOND IMIT FLAVOR     345260</t>
  </si>
  <si>
    <t>MCCORM</t>
  </si>
  <si>
    <t>VANILLA EXTRACT PURE           394151</t>
  </si>
  <si>
    <t>REGINA</t>
  </si>
  <si>
    <t>WINE COOKING SHERRY            374178</t>
  </si>
  <si>
    <t>COMSOURCE</t>
  </si>
  <si>
    <t>BAKING POWDER DOUBLE ACTING</t>
  </si>
  <si>
    <t>UNIPRO</t>
  </si>
  <si>
    <t>BAKING SODA                    429651</t>
  </si>
  <si>
    <t>FLOUR H&amp;R               K      463259</t>
  </si>
  <si>
    <t>FLOUR BREAD FULL STRENGTH</t>
  </si>
  <si>
    <t>SUGAR CANE                 K   403490</t>
  </si>
  <si>
    <t>SUGAR CONFECT 10X       K      403505</t>
  </si>
  <si>
    <t>FLEISH</t>
  </si>
  <si>
    <t>YEAST DRY ACTIVE VACPK  K      473700</t>
  </si>
  <si>
    <t>KETCHUP JUG PLASTIC            394914</t>
  </si>
  <si>
    <t>PUMP JUG HEINZ KETCHUP &amp; MUSTARD</t>
  </si>
  <si>
    <t>14 OZ</t>
  </si>
  <si>
    <t>KETCHUP BOT SQUEEZE RED CLASSIC</t>
  </si>
  <si>
    <t>FULRED</t>
  </si>
  <si>
    <t>SAUCE PIZZA W/BASIL     K</t>
  </si>
  <si>
    <t>U BENS</t>
  </si>
  <si>
    <t>RICE  GF                  K</t>
  </si>
  <si>
    <t>35 OZ</t>
  </si>
  <si>
    <t>AMBIAN</t>
  </si>
  <si>
    <t>RICE ARBORIO ITALY GF          568052</t>
  </si>
  <si>
    <t>BEAN GREEN WHOLE   K</t>
  </si>
  <si>
    <t>BROCCOLI FLORETS</t>
  </si>
  <si>
    <t>NP</t>
  </si>
  <si>
    <t>PEPPERS RED/GREEN STRIPS</t>
  </si>
  <si>
    <t>FRIES 3/8" LINE FLOW</t>
  </si>
  <si>
    <t>WEAR</t>
  </si>
  <si>
    <t>PAN SHEET HALF 18X13X1"        381405</t>
  </si>
  <si>
    <t>24 OZ</t>
  </si>
  <si>
    <t>BREAD TEXAS TOAST 1" THICK SLICED  K</t>
  </si>
  <si>
    <t>DOUGH PUFF PASTRY 10 X 15        1794</t>
  </si>
  <si>
    <t>BAKE CRAFTERS</t>
  </si>
  <si>
    <t>MUFFIN CHOC CHOC CHIP WG IW RF 600620</t>
  </si>
  <si>
    <t>MUFFIN BLUEBERRY WG IW   K     599470</t>
  </si>
  <si>
    <t>MUFFIN BANANA WG IW       K    599474</t>
  </si>
  <si>
    <t>MUFFIN APPLE CINNAMON WG IW  K 599471</t>
  </si>
  <si>
    <t>FELIX</t>
  </si>
  <si>
    <t>ROLL BURGER KAISER LARGE SLICED</t>
  </si>
  <si>
    <t>3.75Z</t>
  </si>
  <si>
    <t>PILLSBURY</t>
  </si>
  <si>
    <t>SCONES VARIETY FRUIT           428931</t>
  </si>
  <si>
    <t>3"</t>
  </si>
  <si>
    <t>RDYCRS</t>
  </si>
  <si>
    <t>SHELLS GRAHAM TART      K      400241</t>
  </si>
  <si>
    <t>MIKES AMAZING</t>
  </si>
  <si>
    <t>CHERRIES MARASCHINO W/STEM K</t>
  </si>
  <si>
    <t>1 LTR</t>
  </si>
  <si>
    <t>MR&amp;MRS</t>
  </si>
  <si>
    <t>*D*PINA COLADA MIX         K   348259</t>
  </si>
  <si>
    <t>*D*STRAWBERRY DAIQ MARG MX K  348628</t>
  </si>
  <si>
    <t>STRAWBERRY DAIQ MARG MIX      N677858</t>
  </si>
  <si>
    <t>AUNT J</t>
  </si>
  <si>
    <t>CORNMEAL YELLOW                373752</t>
  </si>
  <si>
    <t>CAKE MIX DEVILS FOOD    K      396080</t>
  </si>
  <si>
    <t>CAKE MIX YELLOW         K</t>
  </si>
  <si>
    <t>ICING CHOCOLATE FUDGE RTS    K 396110</t>
  </si>
  <si>
    <t>BOWL</t>
  </si>
  <si>
    <t>KELLOGG'S</t>
  </si>
  <si>
    <t>CEREAL ASSORTED FAVORITES      359919</t>
  </si>
  <si>
    <t>50 OZ</t>
  </si>
  <si>
    <t>MALT O MEAL</t>
  </si>
  <si>
    <t>CEREAL GRANOLA                 478225</t>
  </si>
  <si>
    <t>42 OZ</t>
  </si>
  <si>
    <t>QUAKER</t>
  </si>
  <si>
    <t>OATMEAL OLD FASHIONED   K  218221</t>
  </si>
  <si>
    <t>SAUCE SOY       K              563532</t>
  </si>
  <si>
    <t>1 DZ</t>
  </si>
  <si>
    <t>TYSON</t>
  </si>
  <si>
    <t>*D*WRAP ASST GARLIC/TOMATO/SPINACH 12" K</t>
  </si>
  <si>
    <t>KONTOS</t>
  </si>
  <si>
    <t>WRAP WHITE 12"</t>
  </si>
  <si>
    <t>PACE</t>
  </si>
  <si>
    <t>SALSA MILD THICK &amp; CHUNKY      520715</t>
  </si>
  <si>
    <t>RESERS</t>
  </si>
  <si>
    <t>SALSA PICO DE GALLO</t>
  </si>
  <si>
    <t>TAHINI PASTE                   566293</t>
  </si>
  <si>
    <t>SURFLX</t>
  </si>
  <si>
    <t>DELIMER                 K</t>
  </si>
  <si>
    <t>5 GAL</t>
  </si>
  <si>
    <t>DETERGENT HI TEMP DISHMACHINE</t>
  </si>
  <si>
    <t>TEMP RINSE</t>
  </si>
  <si>
    <t>SCRUBBER STAINLESS STEEL</t>
  </si>
  <si>
    <t>COFFEE COLOMBIAN DECAF</t>
  </si>
  <si>
    <t>LIPTON</t>
  </si>
  <si>
    <t>TEA BAGS CUP ENVELOPE   K       47352</t>
  </si>
  <si>
    <t>28 CT</t>
  </si>
  <si>
    <t>TEA APPLE CINNAMON      K       70465</t>
  </si>
  <si>
    <t>TEA CHAMOMILE COURT       K     70463</t>
  </si>
  <si>
    <t>TEA EARL GREY    K              70468</t>
  </si>
  <si>
    <t>TEA GREEN HERB                  70384</t>
  </si>
  <si>
    <t>24/1Z</t>
  </si>
  <si>
    <t>ICED TEA BAGS           K        5342</t>
  </si>
  <si>
    <t>SWITCH</t>
  </si>
  <si>
    <t>JUICE SPARKLING ORANGE TANGERINE 100%</t>
  </si>
  <si>
    <t>SELTZER ORIGINAL</t>
  </si>
  <si>
    <t>SLVES</t>
  </si>
  <si>
    <t>KEEBLER</t>
  </si>
  <si>
    <t>CRACKER MEDLEY ASSRT           400145</t>
  </si>
  <si>
    <t>.5 Z</t>
  </si>
  <si>
    <t>WESTMN</t>
  </si>
  <si>
    <t>CRACKER OYSTER ALL NATURAL  K  465276</t>
  </si>
  <si>
    <t>2 CT</t>
  </si>
  <si>
    <t>SUNSH</t>
  </si>
  <si>
    <t>CRACKER SALTINE KRISPY  K      400066</t>
  </si>
  <si>
    <t>1.85 OZ</t>
  </si>
  <si>
    <t>READI</t>
  </si>
  <si>
    <t>DOUGH COOKIE DBL CHOC WG       600525</t>
  </si>
  <si>
    <t>1.33 OZ</t>
  </si>
  <si>
    <t>COOKIE DOUGH M&amp;M CHOC CHIP</t>
  </si>
  <si>
    <t>12# CW</t>
  </si>
  <si>
    <t>STELLA</t>
  </si>
  <si>
    <t>CHEESE ASIAGO 1/2 WHEEL BLACK WAX</t>
  </si>
  <si>
    <t>CHEESE CHED WHITE SHARP NY PRINT</t>
  </si>
  <si>
    <t>CHEESE COTTAGE 4%       K</t>
  </si>
  <si>
    <t>CHEESE FETA CRUMBLES</t>
  </si>
  <si>
    <t>CHEESE MONTEREY JACK  K</t>
  </si>
  <si>
    <t>1# CW</t>
  </si>
  <si>
    <t>DELI</t>
  </si>
  <si>
    <t>CHEESE MOZZ FRESH HAND MADE</t>
  </si>
  <si>
    <t>CHEESE MOZZ LOAF WM  K</t>
  </si>
  <si>
    <t>6# CW</t>
  </si>
  <si>
    <t>CHEESE PROVOLONE  K</t>
  </si>
  <si>
    <t>CHEESE RICOTTA WM      K</t>
  </si>
  <si>
    <t>GRAND CRU</t>
  </si>
  <si>
    <t>CHEESE GRUYERE SWISS</t>
  </si>
  <si>
    <t>TRADTL</t>
  </si>
  <si>
    <t>CHEESE GOUDA SMOKED</t>
  </si>
  <si>
    <t>CHEESE MARSCARPONE</t>
  </si>
  <si>
    <t>CREAM LIGHT 18% UHT</t>
  </si>
  <si>
    <t>CARNATION</t>
  </si>
  <si>
    <t>MILK EVAPORATED   K            344568</t>
  </si>
  <si>
    <t>MILK CONDENSED SWEETENED K     351075</t>
  </si>
  <si>
    <t>TOPPING VANILLA BETTER CREAM K 467638</t>
  </si>
  <si>
    <t>TOPPING ON TOP       K         467583</t>
  </si>
  <si>
    <t>YOGURT PLAIN NF</t>
  </si>
  <si>
    <t>STONYFIELD</t>
  </si>
  <si>
    <t>YOGURT ORGANIC VANILLA LF      483947</t>
  </si>
  <si>
    <t>YOGURT ORGANIC STRAWBERRY LF   487193</t>
  </si>
  <si>
    <t>YOGURT ORGANIC FRNCH VANILLA LF476489</t>
  </si>
  <si>
    <t>YOGURT ORGANIC O'SOY VANILLA   522231</t>
  </si>
  <si>
    <t>KEN'S</t>
  </si>
  <si>
    <t>DRESSING BLEU CHEESE DELUXE</t>
  </si>
  <si>
    <t>7.6 Z</t>
  </si>
  <si>
    <t>GOOD S</t>
  </si>
  <si>
    <t>DRESSING MIX ITALIAN     K     371981</t>
  </si>
  <si>
    <t>3.2 Z</t>
  </si>
  <si>
    <t>FTHILL</t>
  </si>
  <si>
    <t>DRESSING MIX RANCH NO MSG GF   436367</t>
  </si>
  <si>
    <t>DRESSING 1000 ISLAND    K</t>
  </si>
  <si>
    <t>GLACE DEMI                       9092</t>
  </si>
  <si>
    <t>TULKOF</t>
  </si>
  <si>
    <t>HORSERADISH EXTRA HOT      K   340265</t>
  </si>
  <si>
    <t>8.6#</t>
  </si>
  <si>
    <t>ESPRIT</t>
  </si>
  <si>
    <t>MUSTARD DIJON GRAIN   K</t>
  </si>
  <si>
    <t>GRYPOU</t>
  </si>
  <si>
    <t>MUSTARD DIJON CLASSIC  K       375953</t>
  </si>
  <si>
    <t>5 OZ</t>
  </si>
  <si>
    <t>A-1</t>
  </si>
  <si>
    <t>SAUCE STEAK A-1        K      375942</t>
  </si>
  <si>
    <t>DOMINEX</t>
  </si>
  <si>
    <t>EGGPLANT CUTLET ROUND BRD 3/8" 405294</t>
  </si>
  <si>
    <t>LASAGNA PASTA SHEETS PRE CKD K 464818</t>
  </si>
  <si>
    <t>1.06 OZ</t>
  </si>
  <si>
    <t>RAVIOLI WILD MUSHRM JUMBO CKD  442654</t>
  </si>
  <si>
    <t>1.18Z</t>
  </si>
  <si>
    <t>RAVIOLI LOBSTER JUMBO ROUND    477989</t>
  </si>
  <si>
    <t>TORTELLINI CHEESE PRECKD       442716</t>
  </si>
  <si>
    <t>THERMOMETER REF/FRZ-20/80 F    379476</t>
  </si>
  <si>
    <t>HADDOCK FILET SKNLS 8-12 OZ</t>
  </si>
  <si>
    <t>SALMON FILET 2-3#</t>
  </si>
  <si>
    <t>SCALLOPS DRY 20/30 A</t>
  </si>
  <si>
    <t>SCALLOPS DRY 10/20 A</t>
  </si>
  <si>
    <t>TILAPIA FILET 3-5 OZ</t>
  </si>
  <si>
    <t>BAG</t>
  </si>
  <si>
    <t>CLAMS CHERRYSTONE</t>
  </si>
  <si>
    <t>MUSSELS PEI ROPE</t>
  </si>
  <si>
    <t>OYSTER BLUEPOINT 100 CT</t>
  </si>
  <si>
    <t>6/1.5</t>
  </si>
  <si>
    <t>CHAMPN</t>
  </si>
  <si>
    <t>RAISINS SELECT                 166568</t>
  </si>
  <si>
    <t>WYMAN</t>
  </si>
  <si>
    <t>BERRIES MIXED IQF</t>
  </si>
  <si>
    <t>BLUEBERRIES WILD FROZEN K</t>
  </si>
  <si>
    <t>RASPBERRIES IQF         K</t>
  </si>
  <si>
    <t>STRAWBERRY WHOLE IQF    K       24564</t>
  </si>
  <si>
    <t>RUBY KIST</t>
  </si>
  <si>
    <t>JUICE APPLE 100% PLASTIC     388389</t>
  </si>
  <si>
    <t>46 OZ</t>
  </si>
  <si>
    <t>JUICE CRANBERRY 27%            388402</t>
  </si>
  <si>
    <t>CAPRI SUN</t>
  </si>
  <si>
    <t>JUICE FRUIT DIVE 100%   K      504063</t>
  </si>
  <si>
    <t>GATOR</t>
  </si>
  <si>
    <t>G2-GATORADE GRAPE   K          491111</t>
  </si>
  <si>
    <t>REALEMON</t>
  </si>
  <si>
    <t>JUICE LEMON REALEMON           523333</t>
  </si>
  <si>
    <t>JUICE ORANGE 100%         388399</t>
  </si>
  <si>
    <t>VALDIG</t>
  </si>
  <si>
    <t>PASTA CAPELLINI/ANGEL HAIR IMPORTED</t>
  </si>
  <si>
    <t>ZEREGA</t>
  </si>
  <si>
    <t>PASTA DITALINI    K</t>
  </si>
  <si>
    <t>10 LB</t>
  </si>
  <si>
    <t>BARILA</t>
  </si>
  <si>
    <t>PASTA ELBOW 100% WHOLE GRAIN   616139</t>
  </si>
  <si>
    <t>PASTA ELBOWS            K</t>
  </si>
  <si>
    <t>PASTA FARFALLE BOWTIE          583111</t>
  </si>
  <si>
    <t>PASTA FETTUCINI/FRESIN IMP</t>
  </si>
  <si>
    <t>PASTA LINGUINE IMPORTED</t>
  </si>
  <si>
    <t>KORONA</t>
  </si>
  <si>
    <t>PASTA ORZO</t>
  </si>
  <si>
    <t>13#CW</t>
  </si>
  <si>
    <t>BEEF SKIRT STEAK OUTSIDE CH</t>
  </si>
  <si>
    <t>5-6#CW</t>
  </si>
  <si>
    <t>CHICK WHOLE 5-6 LB ROASTER</t>
  </si>
  <si>
    <t>SUEBEE</t>
  </si>
  <si>
    <t>HONEY                   K      365880</t>
  </si>
  <si>
    <t>GROEB</t>
  </si>
  <si>
    <t>MOLASSES GOLDEN A       K      368088</t>
  </si>
  <si>
    <t>SYRUP CHOCOLATE DISP BOTTLE  K</t>
  </si>
  <si>
    <t>MRSBTR</t>
  </si>
  <si>
    <t>SYRUP PANCAKE                  246904</t>
  </si>
  <si>
    <t>SNWFLK</t>
  </si>
  <si>
    <t>COCONUT MED SHREDDED           193280</t>
  </si>
  <si>
    <t>AZAR</t>
  </si>
  <si>
    <t>WALNUT NUGGET PIECES           450474</t>
  </si>
  <si>
    <t>.875Z</t>
  </si>
  <si>
    <t>POTATO CHIP BKD ORGNL S/S</t>
  </si>
  <si>
    <t>POTATO CHIP BKD BBQ S/S</t>
  </si>
  <si>
    <t>POT CHP BKD S/S SRCRM&amp;ONI</t>
  </si>
  <si>
    <t>FRITO</t>
  </si>
  <si>
    <t>TOSTITO BAKED SCOOPS</t>
  </si>
  <si>
    <t>.875 OZ</t>
  </si>
  <si>
    <t>RUFFLE</t>
  </si>
  <si>
    <t>POTATO CHIP BKD RUFFLE CHED &amp; SR CRM</t>
  </si>
  <si>
    <t>.88Z</t>
  </si>
  <si>
    <t>CHEETO</t>
  </si>
  <si>
    <t>CHEETOS WG BAKED CRUNCHY REG GF</t>
  </si>
  <si>
    <t>DORITO</t>
  </si>
  <si>
    <t>DORITOS RED FAT COOL RANCH</t>
  </si>
  <si>
    <t>DORITOS RED FAT NACHO CHEESE</t>
  </si>
  <si>
    <t>PRETZELS TINY TWISTS</t>
  </si>
  <si>
    <t>SUNCHIP SNACK MIX HRVST CHDR</t>
  </si>
  <si>
    <t>1.75Z</t>
  </si>
  <si>
    <t>CHEX</t>
  </si>
  <si>
    <t>CHEX SNACK MIX TRADITIONAL     396231</t>
  </si>
  <si>
    <t>CAMPFR</t>
  </si>
  <si>
    <t>MARSHMALLOWS MINI              367890</t>
  </si>
  <si>
    <t>12.5#</t>
  </si>
  <si>
    <t>JT/FFM</t>
  </si>
  <si>
    <t>POPCORN RAW KERNEL             169258</t>
  </si>
  <si>
    <t>POTATO CHIP RIDGED</t>
  </si>
  <si>
    <t>NYPRET</t>
  </si>
  <si>
    <t>PRETZEL SOFT PARBK JUMBO</t>
  </si>
  <si>
    <t>PASTA PENNE RIGATE             428079</t>
  </si>
  <si>
    <t>PASTA PENNE RIGATE IMPRTD</t>
  </si>
  <si>
    <t>PASTA RIGATONI MEZZI       583110</t>
  </si>
  <si>
    <t>BACON CANADIAN</t>
  </si>
  <si>
    <t>7.5#</t>
  </si>
  <si>
    <t>CHICK WING DING BRD FC</t>
  </si>
  <si>
    <t>HARVESTLAND</t>
  </si>
  <si>
    <t>CHICK TENDER BRD FC NAE GF     555151</t>
  </si>
  <si>
    <t>PORK GROUND FROZEN</t>
  </si>
  <si>
    <t>2PC CW</t>
  </si>
  <si>
    <t>PORK BUTT B/IN</t>
  </si>
  <si>
    <t>CARAND</t>
  </si>
  <si>
    <t>SALAMI HARD                    518781</t>
  </si>
  <si>
    <t>4# CW</t>
  </si>
  <si>
    <t>PANCETTA                       518821</t>
  </si>
  <si>
    <t>ARMOUR</t>
  </si>
  <si>
    <t>SAUSAGE PATTY BRN&amp;SRV 8/#       31990</t>
  </si>
  <si>
    <t>D'YULIO</t>
  </si>
  <si>
    <t>SAUSAGE LINK ITAL HOT 4" GF</t>
  </si>
  <si>
    <t>SAUSAGE LINK ITAL SWEET 4" GF</t>
  </si>
  <si>
    <t>SAUSAGE GROUND BREAKFAST</t>
  </si>
  <si>
    <t>SAUSAGE CAJUN ANDOUILLE LINKS 6" 4/1</t>
  </si>
  <si>
    <t>BUTTERBALL</t>
  </si>
  <si>
    <t>TURKEY BRST RAW FOIL BNLS SKIN ON 18%</t>
  </si>
  <si>
    <t>9#CW</t>
  </si>
  <si>
    <t>TURKEY BRST ALL NAT RST SKNLS JUST PER</t>
  </si>
  <si>
    <t>9.8#CW</t>
  </si>
  <si>
    <t>CAROLINA</t>
  </si>
  <si>
    <t>TURKEY BRST BROWN SKNLS DELUXE</t>
  </si>
  <si>
    <t>BEEF BRISKET CH</t>
  </si>
  <si>
    <t>13# CW</t>
  </si>
  <si>
    <t>BEEF TOP BUTT SIRLOIN CH</t>
  </si>
  <si>
    <t>BEEF FLANK STEAK CH</t>
  </si>
  <si>
    <t>Bid Quantity</t>
  </si>
  <si>
    <t>Bid Unit Price</t>
  </si>
  <si>
    <t>Total Bid Price</t>
  </si>
  <si>
    <t>Detergent Lemon Shot</t>
  </si>
  <si>
    <t>SURFLEX</t>
  </si>
  <si>
    <t>1-gal</t>
  </si>
  <si>
    <t xml:space="preserve">Emerald Green detegent </t>
  </si>
  <si>
    <t>SIMONIZ</t>
  </si>
  <si>
    <t>5-gal</t>
  </si>
  <si>
    <t>Domino</t>
  </si>
  <si>
    <t>Sugar dark brown k</t>
  </si>
  <si>
    <t>each</t>
  </si>
  <si>
    <t>Table</t>
  </si>
  <si>
    <t>Bus Bucket 22x15x5 gray</t>
  </si>
  <si>
    <t>Bus Bucket 22x15x5 black</t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</si>
  <si>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CHOP ICEBERG/ROM BLEND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</si>
  <si>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ROMAINE CHOPPED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</si>
  <si>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BEEF TENDERLOIN PEELED CH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</si>
  <si>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PORK LOIN BNLS C/C VP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</si>
  <si>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TWINE CONE 1 LB 24 PLY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</si>
  <si>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ONIONS YELLOW 3#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</si>
  <si>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CRAB MEAT JUMBO LUMP 55-75     601386</t>
    </r>
  </si>
  <si>
    <t xml:space="preserve"> CRUMBS BREAD TSTD PANKO        563756</t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</si>
  <si>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SCOURING PADS BRILLO           431958</t>
    </r>
  </si>
  <si>
    <r>
      <rPr>
        <b/>
        <sz val="11"/>
        <color theme="1"/>
        <rFont val="Calibri"/>
        <family val="2"/>
        <scheme val="minor"/>
      </rPr>
      <t xml:space="preserve"> SPLIT CASE</t>
    </r>
    <r>
      <rPr>
        <sz val="11"/>
        <color theme="1"/>
        <rFont val="Calibri"/>
        <family val="2"/>
        <scheme val="minor"/>
      </rPr>
      <t xml:space="preserve"> HOT CHOCOLATE MIX          K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</si>
  <si>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WATER POLAND SPRING    K</t>
    </r>
  </si>
  <si>
    <r>
      <rPr>
        <b/>
        <sz val="11"/>
        <color theme="1"/>
        <rFont val="Calibri"/>
        <family val="2"/>
        <scheme val="minor"/>
      </rPr>
      <t xml:space="preserve"> SPLIT CASE </t>
    </r>
    <r>
      <rPr>
        <sz val="11"/>
        <color theme="1"/>
        <rFont val="Calibri"/>
        <family val="2"/>
        <scheme val="minor"/>
      </rPr>
      <t>CHEESE AMERICAN WHITE 120 SLICE</t>
    </r>
  </si>
  <si>
    <r>
      <t xml:space="preserve"> </t>
    </r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YELLOW  MILD CUBE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</si>
  <si>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SHRED YELLOW MILD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</si>
  <si>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CHED MONTEREY JACK SHRED FANCY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</si>
  <si>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CHEESE CREAM PLAIN             377737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</si>
  <si>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MOZZ SHRED PS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</si>
  <si>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PARMESAN GRATED IMPORTED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</si>
  <si>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PARMESAN SHRED FRESH GF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</si>
  <si>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SWISS 4X4 SANDWICH CUT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</si>
  <si>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MILK INSTANT DRY NONFAT        572796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</si>
  <si>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SOUR CREAM   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</si>
  <si>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MAYONNAISE EXTRA HEAVY   K       9027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</si>
  <si>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MUSTARD YELLOW JUG PLASTIC     394915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</si>
  <si>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BBQ CLASSIC KC           268103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</si>
  <si>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HOT PLASTIC      K       268060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</si>
  <si>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PESTO BASIL FROZEN       442691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</si>
  <si>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SRIRACHA CHILI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</si>
  <si>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SWEET &amp; SOUR JUG         381651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</si>
  <si>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VINEGAR CIDER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</si>
  <si>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THERMOMETER POCKET 0/220       531725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</si>
  <si>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SHRIMP WHITE S/O 26-30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</si>
  <si>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OREO PIECES MD CRNCH    K      377999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</si>
  <si>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OIL BLENDED 90/10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</si>
  <si>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OIL SESAME PURE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</si>
  <si>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CUP HOT 12 OZ PAPER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</si>
  <si>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LID DOME HOT 12/16/20 OZ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</si>
  <si>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CUP SOUFFLE 2 OZ PLASTIC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</si>
  <si>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LID DELI CONT 8-32 OZ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</si>
  <si>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CONT DELI 16 OZ CLR ROUND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</si>
  <si>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PLATES PAPER 6" PL COATED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</si>
  <si>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PLATE PAPER 8.5" POLY COATED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</si>
  <si>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APRON BIB WHT                  379509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</si>
  <si>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LATEX LRG POWDERED       606311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</si>
  <si>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LATEX XLG PWDRD          488677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</si>
  <si>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GLOVE VINYL MED PWDR FREE      606292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</si>
  <si>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GLOVE VINYL LGE PWDR FREE      606293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</si>
  <si>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GARLIC PEELED #1-LARGE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</si>
  <si>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PARSLEY CURLY-TRIMMED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</si>
  <si>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POTATO RED POLY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</si>
  <si>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SHALLOTS PEELED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</si>
  <si>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BROCCOLI  FLORETTES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</si>
  <si>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SALAD MIX TOSSED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</si>
  <si>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PICKLE DILL KOSHER WHL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</si>
  <si>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BASE BEEF LIQUID CONCENTRATE     9681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</si>
  <si>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BASE CHICKEN LIQUID CONC        27444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</si>
  <si>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SPICE CURRY POWDER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</si>
  <si>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SEASONING JAMAICAN JERK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</si>
  <si>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PEPPER LEMON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</si>
  <si>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MUSTARD SEED WHOLE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</si>
  <si>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PEPPER CAYENNE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</si>
  <si>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SPICE ROSEMARY LEAVES WHOLE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</si>
  <si>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EXTRACT ALMOND IMIT FLAVOR     345260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</si>
  <si>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VANILLA EXTRACT PURE           394151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</si>
  <si>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WINE COOKING SHERRY            374178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</si>
  <si>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BAKING POWDER DOUBLE ACTING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</si>
  <si>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YEAST DRY ACTIVE VACPK  K      473700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</si>
  <si>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KETCHUP JUG PLASTIC            394914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</si>
  <si>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RICE  GF           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</si>
  <si>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PAN SHEET HALF 18X13X1"        381405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</si>
  <si>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*D*PINA COLADA MIX         K   348259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</si>
  <si>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*D*STRAWBERRY DAIQ MARG MX K  348628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</si>
  <si>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STRAWBERRY DAIQ MARG MIX      N677858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</si>
  <si>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CORNMEAL YELLOW                373752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</si>
  <si>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ICING CHOCOLATE FUDGE RTS    K 396110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</si>
  <si>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SAUCE SOY       K              563532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</si>
  <si>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SALSA PICO DE GALLO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</si>
  <si>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TAHINI PASTE                   566293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</si>
  <si>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SCRUBBER STAINLESS STEEL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</si>
  <si>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BAGS CUP ENVELOPE   K       47352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</si>
  <si>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APPLE CINNAMON      K       70465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</si>
  <si>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TEA CHAMOMILE COURT       K     70463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</si>
  <si>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TEA EARL GREY    K              70468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</si>
  <si>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TEA GREEN HERB                  70384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</si>
  <si>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COTTAGE 4% 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</si>
  <si>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FETA CRUMBLES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</si>
  <si>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MOZZ LOAF WM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</si>
  <si>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PROVOLONE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</si>
  <si>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RICOTTA WM  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</si>
  <si>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GRUYERE SWISS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</si>
  <si>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CHEESE GOUDA SMOKED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</si>
  <si>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TOPPING VANILLA BETTER CREAM K 467638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</si>
  <si>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DRESSING BLEU CHEESE DELUXE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</si>
  <si>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 DRESSING 1000 ISLAND   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</si>
  <si>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GLACE DEMI                       9092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</si>
  <si>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HORSERADISH EXTRA HOT      K   340265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</si>
  <si>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MUSTARD DIJON GRAIN   K</t>
    </r>
  </si>
  <si>
    <r>
      <rPr>
        <b/>
        <sz val="11"/>
        <color theme="1"/>
        <rFont val="Calibri"/>
        <family val="2"/>
        <scheme val="minor"/>
      </rPr>
      <t xml:space="preserve">SPLIT CASE  </t>
    </r>
    <r>
      <rPr>
        <sz val="11"/>
        <color theme="1"/>
        <rFont val="Calibri"/>
        <family val="2"/>
        <scheme val="minor"/>
      </rPr>
      <t>THERMOMETER REF/FRZ-20/80 F    379476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</si>
  <si>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BERRIES MIXED IQF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</si>
  <si>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BLUEBERRIES WILD FROZEN K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</si>
  <si>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JUICE LEMON REALEMON           523333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</si>
  <si>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HONEY                   K      365880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</si>
  <si>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MOLASSES GOLDEN A       K      368088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</si>
  <si>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SYRUP PANCAKE                  246904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</si>
  <si>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COCONUT MED SHREDDED           193280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</si>
  <si>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BACON CANADIAN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</si>
  <si>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SALAMI HARD                    518781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</si>
  <si>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PANCETTA                       518821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</si>
  <si>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SAUSAGE CAJUN ANDOUILLE LINKS 6" 4/1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</si>
  <si>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TURKEY BRST BROWN SKNLS DELUXE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</si>
  <si>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BRISKET 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</si>
  <si>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TOP BUTT SIRLOIN 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</si>
  <si>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 xml:space="preserve"> BEEF FLANK STEAK CH</t>
    </r>
  </si>
  <si>
    <t>1CT</t>
  </si>
  <si>
    <r>
      <t xml:space="preserve"> </t>
    </r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SAUCE TERIYAKI        K        563556</t>
    </r>
  </si>
  <si>
    <r>
      <rPr>
        <b/>
        <sz val="11"/>
        <color theme="1"/>
        <rFont val="Calibri"/>
        <family val="2"/>
        <scheme val="minor"/>
      </rPr>
      <t>SPLIT CASE</t>
    </r>
    <r>
      <rPr>
        <sz val="11"/>
        <color theme="1"/>
        <rFont val="Calibri"/>
        <family val="2"/>
        <scheme val="minor"/>
      </rPr>
      <t xml:space="preserve"> BLEACH</t>
    </r>
  </si>
  <si>
    <r>
      <rPr>
        <b/>
        <sz val="11"/>
        <color theme="1"/>
        <rFont val="Calibri"/>
        <family val="2"/>
        <scheme val="minor"/>
      </rPr>
      <t xml:space="preserve">SPLIT CASE </t>
    </r>
    <r>
      <rPr>
        <sz val="11"/>
        <color theme="1"/>
        <rFont val="Calibri"/>
        <family val="2"/>
        <scheme val="minor"/>
      </rPr>
      <t>SCALLIONS</t>
    </r>
  </si>
  <si>
    <r>
      <t xml:space="preserve">SPLIT CASE </t>
    </r>
    <r>
      <rPr>
        <sz val="11"/>
        <color theme="1"/>
        <rFont val="Calibri"/>
        <family val="2"/>
        <scheme val="minor"/>
      </rPr>
      <t>CHERRIES MARASCHINO W/STEK 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</si>
</sst>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44" fontId="0" fillId="0" borderId="10" xfId="0" applyNumberForma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4" fontId="16" fillId="0" borderId="10" xfId="0" applyNumberFormat="1" applyFont="1" applyBorder="1" applyAlignment="1">
      <alignment horizontal="center" wrapText="1"/>
    </xf>
    <xf numFmtId="44" fontId="16" fillId="0" borderId="10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42"/>
  <sheetViews>
    <sheetView tabSelected="1" view="pageLayout" topLeftCell="A445" zoomScaleNormal="100" workbookViewId="0">
      <selection activeCell="I6" sqref="I6"/>
    </sheetView>
  </sheetViews>
  <sheetFormatPr defaultRowHeight="15" x14ac:dyDescent="0.25"/>
  <cols>
    <col min="2" max="2" width="8.85546875" style="2"/>
    <col min="4" max="4" width="8.85546875" style="1"/>
    <col min="6" max="6" width="14.5703125" style="1" customWidth="1"/>
    <col min="7" max="7" width="29.7109375" style="2" customWidth="1"/>
    <col min="8" max="8" width="14.28515625" style="3" customWidth="1"/>
    <col min="9" max="9" width="13.42578125" style="3" customWidth="1"/>
  </cols>
  <sheetData>
    <row r="1" spans="1:9" ht="30" x14ac:dyDescent="0.25">
      <c r="A1" s="8" t="s">
        <v>0</v>
      </c>
      <c r="B1" s="9" t="s">
        <v>758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10" t="s">
        <v>759</v>
      </c>
      <c r="I1" s="11" t="s">
        <v>760</v>
      </c>
    </row>
    <row r="2" spans="1:9" x14ac:dyDescent="0.25">
      <c r="A2" s="4" t="str">
        <f>"59572"</f>
        <v>59572</v>
      </c>
      <c r="B2" s="5">
        <v>4</v>
      </c>
      <c r="C2" s="4" t="s">
        <v>6</v>
      </c>
      <c r="D2" s="6">
        <v>12</v>
      </c>
      <c r="E2" s="4" t="s">
        <v>12</v>
      </c>
      <c r="F2" s="6">
        <v>1909</v>
      </c>
      <c r="G2" s="5" t="s">
        <v>13</v>
      </c>
      <c r="H2" s="7"/>
      <c r="I2" s="7"/>
    </row>
    <row r="3" spans="1:9" ht="30" x14ac:dyDescent="0.25">
      <c r="A3" s="4" t="str">
        <f>"57769"</f>
        <v>57769</v>
      </c>
      <c r="B3" s="5">
        <v>4</v>
      </c>
      <c r="C3" s="4" t="s">
        <v>6</v>
      </c>
      <c r="D3" s="6">
        <v>12</v>
      </c>
      <c r="E3" s="4" t="s">
        <v>14</v>
      </c>
      <c r="F3" s="6">
        <v>1909</v>
      </c>
      <c r="G3" s="5" t="s">
        <v>15</v>
      </c>
      <c r="H3" s="7"/>
      <c r="I3" s="7"/>
    </row>
    <row r="4" spans="1:9" x14ac:dyDescent="0.25">
      <c r="A4" s="4" t="str">
        <f>"71207"</f>
        <v>71207</v>
      </c>
      <c r="B4" s="5">
        <v>1</v>
      </c>
      <c r="C4" s="4" t="s">
        <v>6</v>
      </c>
      <c r="D4" s="6">
        <v>1</v>
      </c>
      <c r="E4" s="4" t="s">
        <v>16</v>
      </c>
      <c r="F4" s="6" t="s">
        <v>17</v>
      </c>
      <c r="G4" s="5" t="s">
        <v>18</v>
      </c>
      <c r="H4" s="7"/>
      <c r="I4" s="7"/>
    </row>
    <row r="5" spans="1:9" x14ac:dyDescent="0.25">
      <c r="A5" s="4" t="str">
        <f>"71214"</f>
        <v>71214</v>
      </c>
      <c r="B5" s="5">
        <v>1</v>
      </c>
      <c r="C5" s="4" t="s">
        <v>6</v>
      </c>
      <c r="D5" s="6">
        <v>1</v>
      </c>
      <c r="E5" s="4" t="s">
        <v>19</v>
      </c>
      <c r="F5" s="6">
        <v>1909</v>
      </c>
      <c r="G5" s="5" t="s">
        <v>20</v>
      </c>
      <c r="H5" s="7"/>
      <c r="I5" s="7"/>
    </row>
    <row r="6" spans="1:9" x14ac:dyDescent="0.25">
      <c r="A6" s="4" t="str">
        <f>"71267"</f>
        <v>71267</v>
      </c>
      <c r="B6" s="5">
        <v>8</v>
      </c>
      <c r="C6" s="4" t="s">
        <v>6</v>
      </c>
      <c r="D6" s="6">
        <v>6</v>
      </c>
      <c r="E6" s="4" t="s">
        <v>21</v>
      </c>
      <c r="F6" s="6">
        <v>1909</v>
      </c>
      <c r="G6" s="5" t="s">
        <v>22</v>
      </c>
      <c r="H6" s="7"/>
      <c r="I6" s="7"/>
    </row>
    <row r="7" spans="1:9" x14ac:dyDescent="0.25">
      <c r="A7" s="4" t="str">
        <f>"71290"</f>
        <v>71290</v>
      </c>
      <c r="B7" s="5">
        <v>6</v>
      </c>
      <c r="C7" s="4" t="s">
        <v>6</v>
      </c>
      <c r="D7" s="6">
        <v>1</v>
      </c>
      <c r="E7" s="4" t="s">
        <v>23</v>
      </c>
      <c r="F7" s="6">
        <v>1909</v>
      </c>
      <c r="G7" s="5" t="s">
        <v>24</v>
      </c>
      <c r="H7" s="7"/>
      <c r="I7" s="7"/>
    </row>
    <row r="8" spans="1:9" x14ac:dyDescent="0.25">
      <c r="A8" s="4" t="str">
        <f>"71300"</f>
        <v>71300</v>
      </c>
      <c r="B8" s="5">
        <v>15</v>
      </c>
      <c r="C8" s="4" t="s">
        <v>6</v>
      </c>
      <c r="D8" s="6">
        <v>24</v>
      </c>
      <c r="E8" s="4" t="s">
        <v>25</v>
      </c>
      <c r="F8" s="6" t="s">
        <v>26</v>
      </c>
      <c r="G8" s="5" t="s">
        <v>27</v>
      </c>
      <c r="H8" s="7"/>
      <c r="I8" s="7"/>
    </row>
    <row r="9" spans="1:9" x14ac:dyDescent="0.25">
      <c r="A9" s="4" t="str">
        <f>"71399"</f>
        <v>71399</v>
      </c>
      <c r="B9" s="5">
        <v>4</v>
      </c>
      <c r="C9" s="4" t="s">
        <v>6</v>
      </c>
      <c r="D9" s="6">
        <v>1</v>
      </c>
      <c r="E9" s="4" t="s">
        <v>19</v>
      </c>
      <c r="F9" s="6">
        <v>1909</v>
      </c>
      <c r="G9" s="5" t="s">
        <v>28</v>
      </c>
      <c r="H9" s="7"/>
      <c r="I9" s="7"/>
    </row>
    <row r="10" spans="1:9" x14ac:dyDescent="0.25">
      <c r="A10" s="4" t="str">
        <f>"71445"</f>
        <v>71445</v>
      </c>
      <c r="B10" s="5">
        <v>4</v>
      </c>
      <c r="C10" s="4" t="s">
        <v>6</v>
      </c>
      <c r="D10" s="6">
        <v>1</v>
      </c>
      <c r="E10" s="4" t="s">
        <v>7</v>
      </c>
      <c r="F10" s="6" t="s">
        <v>29</v>
      </c>
      <c r="G10" s="5" t="s">
        <v>30</v>
      </c>
      <c r="H10" s="7"/>
      <c r="I10" s="7"/>
    </row>
    <row r="11" spans="1:9" x14ac:dyDescent="0.25">
      <c r="A11" s="4" t="str">
        <f>"71487"</f>
        <v>71487</v>
      </c>
      <c r="B11" s="5">
        <v>2</v>
      </c>
      <c r="C11" s="4" t="s">
        <v>6</v>
      </c>
      <c r="D11" s="6">
        <v>1</v>
      </c>
      <c r="E11" s="4" t="s">
        <v>31</v>
      </c>
      <c r="F11" s="6" t="s">
        <v>17</v>
      </c>
      <c r="G11" s="5" t="s">
        <v>32</v>
      </c>
      <c r="H11" s="7"/>
      <c r="I11" s="7"/>
    </row>
    <row r="12" spans="1:9" x14ac:dyDescent="0.25">
      <c r="A12" s="4" t="str">
        <f>"71491"</f>
        <v>71491</v>
      </c>
      <c r="B12" s="5">
        <v>2</v>
      </c>
      <c r="C12" s="4" t="s">
        <v>6</v>
      </c>
      <c r="D12" s="6">
        <v>1</v>
      </c>
      <c r="E12" s="4" t="s">
        <v>33</v>
      </c>
      <c r="F12" s="6" t="s">
        <v>17</v>
      </c>
      <c r="G12" s="5" t="s">
        <v>34</v>
      </c>
      <c r="H12" s="7"/>
      <c r="I12" s="7"/>
    </row>
    <row r="13" spans="1:9" x14ac:dyDescent="0.25">
      <c r="A13" s="4" t="str">
        <f>"71495"</f>
        <v>71495</v>
      </c>
      <c r="B13" s="5">
        <v>6</v>
      </c>
      <c r="C13" s="4" t="s">
        <v>6</v>
      </c>
      <c r="D13" s="6">
        <v>1</v>
      </c>
      <c r="E13" s="4" t="s">
        <v>31</v>
      </c>
      <c r="F13" s="6" t="s">
        <v>17</v>
      </c>
      <c r="G13" s="5" t="s">
        <v>35</v>
      </c>
      <c r="H13" s="7"/>
      <c r="I13" s="7"/>
    </row>
    <row r="14" spans="1:9" x14ac:dyDescent="0.25">
      <c r="A14" s="4" t="str">
        <f>"71508"</f>
        <v>71508</v>
      </c>
      <c r="B14" s="5">
        <v>2</v>
      </c>
      <c r="C14" s="4" t="s">
        <v>6</v>
      </c>
      <c r="D14" s="6">
        <v>1</v>
      </c>
      <c r="E14" s="4" t="s">
        <v>36</v>
      </c>
      <c r="F14" s="6" t="s">
        <v>17</v>
      </c>
      <c r="G14" s="5" t="s">
        <v>37</v>
      </c>
      <c r="H14" s="7"/>
      <c r="I14" s="7"/>
    </row>
    <row r="15" spans="1:9" x14ac:dyDescent="0.25">
      <c r="A15" s="4" t="str">
        <f>"71562"</f>
        <v>71562</v>
      </c>
      <c r="B15" s="5">
        <v>2</v>
      </c>
      <c r="C15" s="4" t="s">
        <v>6</v>
      </c>
      <c r="D15" s="6">
        <v>1</v>
      </c>
      <c r="E15" s="4" t="s">
        <v>38</v>
      </c>
      <c r="F15" s="6" t="s">
        <v>17</v>
      </c>
      <c r="G15" s="5" t="s">
        <v>39</v>
      </c>
      <c r="H15" s="7"/>
      <c r="I15" s="7"/>
    </row>
    <row r="16" spans="1:9" x14ac:dyDescent="0.25">
      <c r="A16" s="4" t="str">
        <f>"71572"</f>
        <v>71572</v>
      </c>
      <c r="B16" s="5">
        <v>2</v>
      </c>
      <c r="C16" s="4" t="s">
        <v>6</v>
      </c>
      <c r="D16" s="6">
        <v>1</v>
      </c>
      <c r="E16" s="4" t="s">
        <v>40</v>
      </c>
      <c r="F16" s="6" t="s">
        <v>41</v>
      </c>
      <c r="G16" s="5" t="s">
        <v>42</v>
      </c>
      <c r="H16" s="7"/>
      <c r="I16" s="7"/>
    </row>
    <row r="17" spans="1:9" x14ac:dyDescent="0.25">
      <c r="A17" s="4" t="str">
        <f>"71595"</f>
        <v>71595</v>
      </c>
      <c r="B17" s="5">
        <v>8</v>
      </c>
      <c r="C17" s="4" t="s">
        <v>6</v>
      </c>
      <c r="D17" s="6">
        <v>4</v>
      </c>
      <c r="E17" s="4" t="s">
        <v>23</v>
      </c>
      <c r="F17" s="6">
        <v>1909</v>
      </c>
      <c r="G17" s="5" t="s">
        <v>43</v>
      </c>
      <c r="H17" s="7"/>
      <c r="I17" s="7"/>
    </row>
    <row r="18" spans="1:9" x14ac:dyDescent="0.25">
      <c r="A18" s="4" t="str">
        <f>"71635"</f>
        <v>71635</v>
      </c>
      <c r="B18" s="5">
        <v>16</v>
      </c>
      <c r="C18" s="4" t="s">
        <v>6</v>
      </c>
      <c r="D18" s="6">
        <v>1</v>
      </c>
      <c r="E18" s="4" t="s">
        <v>7</v>
      </c>
      <c r="F18" s="6">
        <v>1909</v>
      </c>
      <c r="G18" s="5" t="s">
        <v>44</v>
      </c>
      <c r="H18" s="7"/>
      <c r="I18" s="7"/>
    </row>
    <row r="19" spans="1:9" x14ac:dyDescent="0.25">
      <c r="A19" s="4" t="str">
        <f>"71641"</f>
        <v>71641</v>
      </c>
      <c r="B19" s="5">
        <v>16</v>
      </c>
      <c r="C19" s="4" t="s">
        <v>6</v>
      </c>
      <c r="D19" s="6">
        <v>1</v>
      </c>
      <c r="E19" s="4" t="s">
        <v>7</v>
      </c>
      <c r="F19" s="6">
        <v>1909</v>
      </c>
      <c r="G19" s="5" t="s">
        <v>45</v>
      </c>
      <c r="H19" s="7"/>
      <c r="I19" s="7"/>
    </row>
    <row r="20" spans="1:9" x14ac:dyDescent="0.25">
      <c r="A20" s="4" t="str">
        <f>"71664"</f>
        <v>71664</v>
      </c>
      <c r="B20" s="5">
        <v>8</v>
      </c>
      <c r="C20" s="4" t="s">
        <v>6</v>
      </c>
      <c r="D20" s="6">
        <v>25</v>
      </c>
      <c r="E20" s="4" t="s">
        <v>46</v>
      </c>
      <c r="F20" s="6" t="s">
        <v>17</v>
      </c>
      <c r="G20" s="5" t="s">
        <v>47</v>
      </c>
      <c r="H20" s="7"/>
      <c r="I20" s="7"/>
    </row>
    <row r="21" spans="1:9" x14ac:dyDescent="0.25">
      <c r="A21" s="4" t="str">
        <f>"71682"</f>
        <v>71682</v>
      </c>
      <c r="B21" s="5">
        <v>4</v>
      </c>
      <c r="C21" s="4" t="s">
        <v>6</v>
      </c>
      <c r="D21" s="6">
        <v>12</v>
      </c>
      <c r="E21" s="4" t="s">
        <v>48</v>
      </c>
      <c r="F21" s="6" t="s">
        <v>17</v>
      </c>
      <c r="G21" s="5" t="s">
        <v>49</v>
      </c>
      <c r="H21" s="7"/>
      <c r="I21" s="7"/>
    </row>
    <row r="22" spans="1:9" x14ac:dyDescent="0.25">
      <c r="A22" s="4" t="str">
        <f>"71686"</f>
        <v>71686</v>
      </c>
      <c r="B22" s="5">
        <v>4</v>
      </c>
      <c r="C22" s="4" t="s">
        <v>6</v>
      </c>
      <c r="D22" s="6">
        <v>12</v>
      </c>
      <c r="E22" s="4" t="s">
        <v>50</v>
      </c>
      <c r="F22" s="6" t="s">
        <v>17</v>
      </c>
      <c r="G22" s="5" t="s">
        <v>51</v>
      </c>
      <c r="H22" s="7"/>
      <c r="I22" s="7"/>
    </row>
    <row r="23" spans="1:9" x14ac:dyDescent="0.25">
      <c r="A23" s="4" t="str">
        <f>"71729"</f>
        <v>71729</v>
      </c>
      <c r="B23" s="5">
        <v>2</v>
      </c>
      <c r="C23" s="4" t="s">
        <v>6</v>
      </c>
      <c r="D23" s="6">
        <v>1</v>
      </c>
      <c r="E23" s="4" t="s">
        <v>52</v>
      </c>
      <c r="F23" s="6" t="s">
        <v>53</v>
      </c>
      <c r="G23" s="5" t="s">
        <v>54</v>
      </c>
      <c r="H23" s="7"/>
      <c r="I23" s="7"/>
    </row>
    <row r="24" spans="1:9" x14ac:dyDescent="0.25">
      <c r="A24" s="4" t="str">
        <f>"71853"</f>
        <v>71853</v>
      </c>
      <c r="B24" s="5">
        <v>2</v>
      </c>
      <c r="C24" s="4" t="s">
        <v>6</v>
      </c>
      <c r="D24" s="6">
        <v>1</v>
      </c>
      <c r="E24" s="4" t="s">
        <v>55</v>
      </c>
      <c r="F24" s="6" t="s">
        <v>10</v>
      </c>
      <c r="G24" s="5" t="s">
        <v>56</v>
      </c>
      <c r="H24" s="7"/>
      <c r="I24" s="7"/>
    </row>
    <row r="25" spans="1:9" x14ac:dyDescent="0.25">
      <c r="A25" s="4" t="str">
        <f>"71741"</f>
        <v>71741</v>
      </c>
      <c r="B25" s="5">
        <v>2</v>
      </c>
      <c r="C25" s="4" t="s">
        <v>6</v>
      </c>
      <c r="D25" s="6">
        <v>1</v>
      </c>
      <c r="E25" s="4" t="s">
        <v>57</v>
      </c>
      <c r="F25" s="6" t="s">
        <v>29</v>
      </c>
      <c r="G25" s="5" t="s">
        <v>58</v>
      </c>
      <c r="H25" s="7"/>
      <c r="I25" s="7"/>
    </row>
    <row r="26" spans="1:9" x14ac:dyDescent="0.25">
      <c r="A26" s="4" t="str">
        <f>"71737"</f>
        <v>71737</v>
      </c>
      <c r="B26" s="5">
        <v>2</v>
      </c>
      <c r="C26" s="4" t="s">
        <v>6</v>
      </c>
      <c r="D26" s="6">
        <v>1</v>
      </c>
      <c r="E26" s="4" t="s">
        <v>59</v>
      </c>
      <c r="F26" s="6" t="s">
        <v>53</v>
      </c>
      <c r="G26" s="5" t="s">
        <v>60</v>
      </c>
      <c r="H26" s="7"/>
      <c r="I26" s="7"/>
    </row>
    <row r="27" spans="1:9" x14ac:dyDescent="0.25">
      <c r="A27" s="4" t="str">
        <f>"71797"</f>
        <v>71797</v>
      </c>
      <c r="B27" s="5">
        <v>4</v>
      </c>
      <c r="C27" s="4" t="s">
        <v>6</v>
      </c>
      <c r="D27" s="6">
        <v>40</v>
      </c>
      <c r="E27" s="4" t="s">
        <v>46</v>
      </c>
      <c r="F27" s="6" t="s">
        <v>61</v>
      </c>
      <c r="G27" s="5" t="s">
        <v>62</v>
      </c>
      <c r="H27" s="7"/>
      <c r="I27" s="7"/>
    </row>
    <row r="28" spans="1:9" x14ac:dyDescent="0.25">
      <c r="A28" s="4" t="str">
        <f>"71910"</f>
        <v>71910</v>
      </c>
      <c r="B28" s="5">
        <v>3</v>
      </c>
      <c r="C28" s="4" t="s">
        <v>6</v>
      </c>
      <c r="D28" s="6">
        <v>1</v>
      </c>
      <c r="E28" s="4" t="s">
        <v>63</v>
      </c>
      <c r="F28" s="6" t="s">
        <v>17</v>
      </c>
      <c r="G28" s="5" t="s">
        <v>64</v>
      </c>
      <c r="H28" s="7"/>
      <c r="I28" s="7"/>
    </row>
    <row r="29" spans="1:9" x14ac:dyDescent="0.25">
      <c r="A29" s="4" t="str">
        <f>"72264"</f>
        <v>72264</v>
      </c>
      <c r="B29" s="5">
        <v>3</v>
      </c>
      <c r="C29" s="4" t="s">
        <v>8</v>
      </c>
      <c r="D29" s="6">
        <v>4</v>
      </c>
      <c r="E29" s="4" t="s">
        <v>7</v>
      </c>
      <c r="F29" s="6" t="s">
        <v>65</v>
      </c>
      <c r="G29" s="5" t="s">
        <v>66</v>
      </c>
      <c r="H29" s="7"/>
      <c r="I29" s="7"/>
    </row>
    <row r="30" spans="1:9" ht="30" x14ac:dyDescent="0.25">
      <c r="A30" s="4"/>
      <c r="B30" s="5"/>
      <c r="C30" s="4"/>
      <c r="D30" s="6" t="s">
        <v>886</v>
      </c>
      <c r="E30" s="4"/>
      <c r="F30" s="6"/>
      <c r="G30" s="5" t="s">
        <v>773</v>
      </c>
      <c r="H30" s="7"/>
      <c r="I30" s="7"/>
    </row>
    <row r="31" spans="1:9" x14ac:dyDescent="0.25">
      <c r="A31" s="4" t="str">
        <f>"72278"</f>
        <v>72278</v>
      </c>
      <c r="B31" s="5">
        <v>3</v>
      </c>
      <c r="C31" s="4" t="s">
        <v>8</v>
      </c>
      <c r="D31" s="6">
        <v>6</v>
      </c>
      <c r="E31" s="4" t="s">
        <v>67</v>
      </c>
      <c r="F31" s="6" t="s">
        <v>17</v>
      </c>
      <c r="G31" s="5" t="s">
        <v>68</v>
      </c>
      <c r="H31" s="7"/>
      <c r="I31" s="7"/>
    </row>
    <row r="32" spans="1:9" x14ac:dyDescent="0.25">
      <c r="A32" s="4"/>
      <c r="B32" s="5"/>
      <c r="C32" s="4"/>
      <c r="D32" s="6" t="s">
        <v>886</v>
      </c>
      <c r="E32" s="4"/>
      <c r="F32" s="6"/>
      <c r="G32" s="5" t="s">
        <v>774</v>
      </c>
      <c r="H32" s="7"/>
      <c r="I32" s="7"/>
    </row>
    <row r="33" spans="1:9" x14ac:dyDescent="0.25">
      <c r="A33" s="4" t="str">
        <f>"59509"</f>
        <v>59509</v>
      </c>
      <c r="B33" s="5">
        <v>5</v>
      </c>
      <c r="C33" s="4" t="s">
        <v>8</v>
      </c>
      <c r="D33" s="6">
        <v>12</v>
      </c>
      <c r="E33" s="4" t="s">
        <v>69</v>
      </c>
      <c r="F33" s="6" t="s">
        <v>10</v>
      </c>
      <c r="G33" s="5" t="s">
        <v>70</v>
      </c>
      <c r="H33" s="7"/>
      <c r="I33" s="7"/>
    </row>
    <row r="34" spans="1:9" ht="30" x14ac:dyDescent="0.25">
      <c r="A34" s="4"/>
      <c r="B34" s="5"/>
      <c r="C34" s="4"/>
      <c r="D34" s="6" t="s">
        <v>886</v>
      </c>
      <c r="E34" s="4"/>
      <c r="F34" s="6"/>
      <c r="G34" s="5" t="s">
        <v>775</v>
      </c>
      <c r="H34" s="7"/>
      <c r="I34" s="7"/>
    </row>
    <row r="35" spans="1:9" x14ac:dyDescent="0.25">
      <c r="A35" s="4" t="str">
        <f>"59431"</f>
        <v>59431</v>
      </c>
      <c r="B35" s="5">
        <v>9</v>
      </c>
      <c r="C35" s="4" t="s">
        <v>6</v>
      </c>
      <c r="D35" s="6">
        <v>1</v>
      </c>
      <c r="E35" s="4" t="s">
        <v>71</v>
      </c>
      <c r="F35" s="6" t="s">
        <v>9</v>
      </c>
      <c r="G35" s="5" t="s">
        <v>72</v>
      </c>
      <c r="H35" s="7"/>
      <c r="I35" s="7"/>
    </row>
    <row r="36" spans="1:9" x14ac:dyDescent="0.25">
      <c r="A36" s="4" t="str">
        <f>"56800"</f>
        <v>56800</v>
      </c>
      <c r="B36" s="5">
        <v>5</v>
      </c>
      <c r="C36" s="4" t="s">
        <v>6</v>
      </c>
      <c r="D36" s="6">
        <v>16</v>
      </c>
      <c r="E36" s="4" t="s">
        <v>73</v>
      </c>
      <c r="F36" s="6" t="s">
        <v>10</v>
      </c>
      <c r="G36" s="5" t="s">
        <v>74</v>
      </c>
      <c r="H36" s="7"/>
      <c r="I36" s="7"/>
    </row>
    <row r="37" spans="1:9" x14ac:dyDescent="0.25">
      <c r="A37" s="4" t="str">
        <f>"59490"</f>
        <v>59490</v>
      </c>
      <c r="B37" s="5">
        <v>2</v>
      </c>
      <c r="C37" s="4" t="s">
        <v>6</v>
      </c>
      <c r="D37" s="6">
        <v>6</v>
      </c>
      <c r="E37" s="4" t="s">
        <v>75</v>
      </c>
      <c r="F37" s="6" t="s">
        <v>9</v>
      </c>
      <c r="G37" s="5" t="s">
        <v>76</v>
      </c>
      <c r="H37" s="7"/>
      <c r="I37" s="7"/>
    </row>
    <row r="38" spans="1:9" x14ac:dyDescent="0.25">
      <c r="A38" s="4" t="str">
        <f>"59491"</f>
        <v>59491</v>
      </c>
      <c r="B38" s="5">
        <v>8</v>
      </c>
      <c r="C38" s="4" t="s">
        <v>6</v>
      </c>
      <c r="D38" s="6">
        <v>1</v>
      </c>
      <c r="E38" s="4" t="s">
        <v>75</v>
      </c>
      <c r="F38" s="6" t="s">
        <v>9</v>
      </c>
      <c r="G38" s="5" t="s">
        <v>76</v>
      </c>
      <c r="H38" s="7"/>
      <c r="I38" s="7"/>
    </row>
    <row r="39" spans="1:9" x14ac:dyDescent="0.25">
      <c r="A39" s="4" t="str">
        <f>"56763"</f>
        <v>56763</v>
      </c>
      <c r="B39" s="5">
        <v>4</v>
      </c>
      <c r="C39" s="4" t="s">
        <v>8</v>
      </c>
      <c r="D39" s="6">
        <v>6</v>
      </c>
      <c r="E39" s="4" t="s">
        <v>77</v>
      </c>
      <c r="F39" s="6" t="s">
        <v>10</v>
      </c>
      <c r="G39" s="5" t="s">
        <v>78</v>
      </c>
      <c r="H39" s="7"/>
      <c r="I39" s="7"/>
    </row>
    <row r="40" spans="1:9" ht="30" x14ac:dyDescent="0.25">
      <c r="A40" s="4"/>
      <c r="B40" s="5"/>
      <c r="C40" s="4"/>
      <c r="D40" s="6" t="s">
        <v>886</v>
      </c>
      <c r="E40" s="4"/>
      <c r="F40" s="6"/>
      <c r="G40" s="5" t="s">
        <v>776</v>
      </c>
      <c r="H40" s="7"/>
      <c r="I40" s="7"/>
    </row>
    <row r="41" spans="1:9" ht="30" x14ac:dyDescent="0.25">
      <c r="A41" s="4" t="str">
        <f>"71447"</f>
        <v>71447</v>
      </c>
      <c r="B41" s="5">
        <v>2</v>
      </c>
      <c r="C41" s="4" t="s">
        <v>6</v>
      </c>
      <c r="D41" s="6">
        <v>1</v>
      </c>
      <c r="E41" s="4" t="s">
        <v>79</v>
      </c>
      <c r="F41" s="6" t="s">
        <v>29</v>
      </c>
      <c r="G41" s="5" t="s">
        <v>80</v>
      </c>
      <c r="H41" s="7"/>
      <c r="I41" s="7"/>
    </row>
    <row r="42" spans="1:9" x14ac:dyDescent="0.25">
      <c r="A42" s="4" t="str">
        <f>"71597"</f>
        <v>71597</v>
      </c>
      <c r="B42" s="5">
        <v>6</v>
      </c>
      <c r="C42" s="4" t="s">
        <v>6</v>
      </c>
      <c r="D42" s="6">
        <v>1</v>
      </c>
      <c r="E42" s="4" t="s">
        <v>19</v>
      </c>
      <c r="F42" s="6">
        <v>1909</v>
      </c>
      <c r="G42" s="5" t="s">
        <v>81</v>
      </c>
      <c r="H42" s="7"/>
      <c r="I42" s="7"/>
    </row>
    <row r="43" spans="1:9" x14ac:dyDescent="0.25">
      <c r="A43" s="4" t="str">
        <f>"70923"</f>
        <v>70923</v>
      </c>
      <c r="B43" s="5">
        <v>2</v>
      </c>
      <c r="C43" s="4" t="s">
        <v>8</v>
      </c>
      <c r="D43" s="6">
        <v>24</v>
      </c>
      <c r="E43" s="4" t="s">
        <v>25</v>
      </c>
      <c r="F43" s="6" t="s">
        <v>82</v>
      </c>
      <c r="G43" s="5" t="s">
        <v>83</v>
      </c>
      <c r="H43" s="7"/>
      <c r="I43" s="7"/>
    </row>
    <row r="44" spans="1:9" ht="30" x14ac:dyDescent="0.25">
      <c r="A44" s="4"/>
      <c r="B44" s="5"/>
      <c r="C44" s="4"/>
      <c r="D44" s="6" t="s">
        <v>886</v>
      </c>
      <c r="E44" s="4"/>
      <c r="F44" s="6"/>
      <c r="G44" s="5" t="s">
        <v>777</v>
      </c>
      <c r="H44" s="7"/>
      <c r="I44" s="7"/>
    </row>
    <row r="45" spans="1:9" x14ac:dyDescent="0.25">
      <c r="A45" s="4" t="str">
        <f>"71227"</f>
        <v>71227</v>
      </c>
      <c r="B45" s="5">
        <v>2</v>
      </c>
      <c r="C45" s="4" t="s">
        <v>6</v>
      </c>
      <c r="D45" s="6">
        <v>1</v>
      </c>
      <c r="E45" s="4" t="s">
        <v>36</v>
      </c>
      <c r="F45" s="6" t="s">
        <v>17</v>
      </c>
      <c r="G45" s="5" t="s">
        <v>84</v>
      </c>
      <c r="H45" s="7"/>
      <c r="I45" s="7"/>
    </row>
    <row r="46" spans="1:9" x14ac:dyDescent="0.25">
      <c r="A46" s="4" t="str">
        <f>"71241"</f>
        <v>71241</v>
      </c>
      <c r="B46" s="5">
        <v>12</v>
      </c>
      <c r="C46" s="4" t="s">
        <v>6</v>
      </c>
      <c r="D46" s="6">
        <v>1</v>
      </c>
      <c r="E46" s="4" t="s">
        <v>7</v>
      </c>
      <c r="F46" s="6" t="s">
        <v>17</v>
      </c>
      <c r="G46" s="5" t="s">
        <v>85</v>
      </c>
      <c r="H46" s="7"/>
      <c r="I46" s="7"/>
    </row>
    <row r="47" spans="1:9" x14ac:dyDescent="0.25">
      <c r="A47" s="4" t="str">
        <f>"71255"</f>
        <v>71255</v>
      </c>
      <c r="B47" s="5">
        <v>10</v>
      </c>
      <c r="C47" s="4" t="s">
        <v>6</v>
      </c>
      <c r="D47" s="6">
        <v>1</v>
      </c>
      <c r="E47" s="4" t="s">
        <v>86</v>
      </c>
      <c r="F47" s="6" t="s">
        <v>17</v>
      </c>
      <c r="G47" s="5" t="s">
        <v>87</v>
      </c>
      <c r="H47" s="7"/>
      <c r="I47" s="7"/>
    </row>
    <row r="48" spans="1:9" x14ac:dyDescent="0.25">
      <c r="A48" s="4" t="str">
        <f>"71421"</f>
        <v>71421</v>
      </c>
      <c r="B48" s="5">
        <v>5</v>
      </c>
      <c r="C48" s="4" t="s">
        <v>6</v>
      </c>
      <c r="D48" s="6">
        <v>1</v>
      </c>
      <c r="E48" s="4" t="s">
        <v>79</v>
      </c>
      <c r="F48" s="6" t="s">
        <v>17</v>
      </c>
      <c r="G48" s="5" t="s">
        <v>88</v>
      </c>
      <c r="H48" s="7"/>
      <c r="I48" s="7"/>
    </row>
    <row r="49" spans="1:9" x14ac:dyDescent="0.25">
      <c r="A49" s="4" t="str">
        <f>"71433"</f>
        <v>71433</v>
      </c>
      <c r="B49" s="5">
        <v>11</v>
      </c>
      <c r="C49" s="4" t="s">
        <v>6</v>
      </c>
      <c r="D49" s="6">
        <v>1</v>
      </c>
      <c r="E49" s="4" t="s">
        <v>89</v>
      </c>
      <c r="F49" s="6" t="s">
        <v>29</v>
      </c>
      <c r="G49" s="5" t="s">
        <v>90</v>
      </c>
      <c r="H49" s="7"/>
      <c r="I49" s="7"/>
    </row>
    <row r="50" spans="1:9" x14ac:dyDescent="0.25">
      <c r="A50" s="4" t="str">
        <f>"71442"</f>
        <v>71442</v>
      </c>
      <c r="B50" s="5">
        <v>3</v>
      </c>
      <c r="C50" s="4" t="s">
        <v>6</v>
      </c>
      <c r="D50" s="6">
        <v>1</v>
      </c>
      <c r="E50" s="4" t="s">
        <v>7</v>
      </c>
      <c r="F50" s="6" t="s">
        <v>29</v>
      </c>
      <c r="G50" s="5" t="s">
        <v>91</v>
      </c>
      <c r="H50" s="7"/>
      <c r="I50" s="7"/>
    </row>
    <row r="51" spans="1:9" x14ac:dyDescent="0.25">
      <c r="A51" s="4" t="str">
        <f>"71455"</f>
        <v>71455</v>
      </c>
      <c r="B51" s="5">
        <v>4</v>
      </c>
      <c r="C51" s="4" t="s">
        <v>8</v>
      </c>
      <c r="D51" s="6">
        <v>15</v>
      </c>
      <c r="E51" s="4" t="s">
        <v>79</v>
      </c>
      <c r="F51" s="6" t="s">
        <v>17</v>
      </c>
      <c r="G51" s="5" t="s">
        <v>92</v>
      </c>
      <c r="H51" s="7"/>
      <c r="I51" s="7"/>
    </row>
    <row r="52" spans="1:9" x14ac:dyDescent="0.25">
      <c r="A52" s="4"/>
      <c r="B52" s="5"/>
      <c r="C52" s="4"/>
      <c r="D52" s="6" t="s">
        <v>886</v>
      </c>
      <c r="E52" s="4"/>
      <c r="F52" s="6"/>
      <c r="G52" s="5" t="s">
        <v>778</v>
      </c>
      <c r="H52" s="7"/>
      <c r="I52" s="7"/>
    </row>
    <row r="53" spans="1:9" x14ac:dyDescent="0.25">
      <c r="A53" s="4" t="str">
        <f>"71476"</f>
        <v>71476</v>
      </c>
      <c r="B53" s="5">
        <v>15</v>
      </c>
      <c r="C53" s="4" t="s">
        <v>6</v>
      </c>
      <c r="D53" s="6">
        <v>1</v>
      </c>
      <c r="E53" s="4" t="s">
        <v>93</v>
      </c>
      <c r="F53" s="6">
        <v>1909</v>
      </c>
      <c r="G53" s="5" t="s">
        <v>94</v>
      </c>
      <c r="H53" s="7"/>
      <c r="I53" s="7"/>
    </row>
    <row r="54" spans="1:9" x14ac:dyDescent="0.25">
      <c r="A54" s="4" t="str">
        <f>"71486"</f>
        <v>71486</v>
      </c>
      <c r="B54" s="5">
        <v>10</v>
      </c>
      <c r="C54" s="4" t="s">
        <v>6</v>
      </c>
      <c r="D54" s="6">
        <v>1</v>
      </c>
      <c r="E54" s="4" t="s">
        <v>89</v>
      </c>
      <c r="F54" s="6" t="s">
        <v>17</v>
      </c>
      <c r="G54" s="5" t="s">
        <v>95</v>
      </c>
      <c r="H54" s="7"/>
      <c r="I54" s="7"/>
    </row>
    <row r="55" spans="1:9" x14ac:dyDescent="0.25">
      <c r="A55" s="4" t="str">
        <f>"71523"</f>
        <v>71523</v>
      </c>
      <c r="B55" s="5">
        <v>8</v>
      </c>
      <c r="C55" s="4" t="s">
        <v>6</v>
      </c>
      <c r="D55" s="6">
        <v>1</v>
      </c>
      <c r="E55" s="4" t="s">
        <v>38</v>
      </c>
      <c r="F55" s="6" t="s">
        <v>17</v>
      </c>
      <c r="G55" s="5" t="s">
        <v>96</v>
      </c>
      <c r="H55" s="7"/>
      <c r="I55" s="7"/>
    </row>
    <row r="56" spans="1:9" x14ac:dyDescent="0.25">
      <c r="A56" s="4" t="str">
        <f>"71555"</f>
        <v>71555</v>
      </c>
      <c r="B56" s="5">
        <v>4</v>
      </c>
      <c r="C56" s="4" t="s">
        <v>6</v>
      </c>
      <c r="D56" s="6">
        <v>1</v>
      </c>
      <c r="E56" s="4" t="s">
        <v>86</v>
      </c>
      <c r="F56" s="6" t="s">
        <v>17</v>
      </c>
      <c r="G56" s="5" t="s">
        <v>97</v>
      </c>
      <c r="H56" s="7"/>
      <c r="I56" s="7"/>
    </row>
    <row r="57" spans="1:9" x14ac:dyDescent="0.25">
      <c r="A57" s="4" t="str">
        <f>"71564"</f>
        <v>71564</v>
      </c>
      <c r="B57" s="5">
        <v>4</v>
      </c>
      <c r="C57" s="4" t="s">
        <v>6</v>
      </c>
      <c r="D57" s="6">
        <v>1</v>
      </c>
      <c r="E57" s="4" t="s">
        <v>38</v>
      </c>
      <c r="F57" s="6" t="s">
        <v>17</v>
      </c>
      <c r="G57" s="5" t="s">
        <v>98</v>
      </c>
      <c r="H57" s="7"/>
      <c r="I57" s="7"/>
    </row>
    <row r="58" spans="1:9" x14ac:dyDescent="0.25">
      <c r="A58" s="4" t="str">
        <f>"71613"</f>
        <v>71613</v>
      </c>
      <c r="B58" s="5">
        <v>12</v>
      </c>
      <c r="C58" s="4" t="s">
        <v>6</v>
      </c>
      <c r="D58" s="6">
        <v>1</v>
      </c>
      <c r="E58" s="4" t="s">
        <v>99</v>
      </c>
      <c r="F58" s="6" t="s">
        <v>17</v>
      </c>
      <c r="G58" s="5" t="s">
        <v>100</v>
      </c>
      <c r="H58" s="7"/>
      <c r="I58" s="7"/>
    </row>
    <row r="59" spans="1:9" x14ac:dyDescent="0.25">
      <c r="A59" s="4" t="str">
        <f>"71615"</f>
        <v>71615</v>
      </c>
      <c r="B59" s="5">
        <v>6</v>
      </c>
      <c r="C59" s="4" t="s">
        <v>6</v>
      </c>
      <c r="D59" s="6">
        <v>4</v>
      </c>
      <c r="E59" s="4" t="s">
        <v>101</v>
      </c>
      <c r="F59" s="6" t="s">
        <v>17</v>
      </c>
      <c r="G59" s="5" t="s">
        <v>102</v>
      </c>
      <c r="H59" s="7"/>
      <c r="I59" s="7"/>
    </row>
    <row r="60" spans="1:9" x14ac:dyDescent="0.25">
      <c r="A60" s="4" t="str">
        <f>"71632"</f>
        <v>71632</v>
      </c>
      <c r="B60" s="5">
        <v>2</v>
      </c>
      <c r="C60" s="4" t="s">
        <v>6</v>
      </c>
      <c r="D60" s="6">
        <v>1</v>
      </c>
      <c r="E60" s="4" t="s">
        <v>86</v>
      </c>
      <c r="F60" s="6" t="s">
        <v>41</v>
      </c>
      <c r="G60" s="5" t="s">
        <v>44</v>
      </c>
      <c r="H60" s="7"/>
      <c r="I60" s="7"/>
    </row>
    <row r="61" spans="1:9" x14ac:dyDescent="0.25">
      <c r="A61" s="4" t="str">
        <f>"71638"</f>
        <v>71638</v>
      </c>
      <c r="B61" s="5">
        <v>2</v>
      </c>
      <c r="C61" s="4" t="s">
        <v>6</v>
      </c>
      <c r="D61" s="6">
        <v>1</v>
      </c>
      <c r="E61" s="4" t="s">
        <v>86</v>
      </c>
      <c r="F61" s="6" t="s">
        <v>41</v>
      </c>
      <c r="G61" s="5" t="s">
        <v>45</v>
      </c>
      <c r="H61" s="7"/>
      <c r="I61" s="7"/>
    </row>
    <row r="62" spans="1:9" x14ac:dyDescent="0.25">
      <c r="A62" s="4" t="str">
        <f>"71679"</f>
        <v>71679</v>
      </c>
      <c r="B62" s="5">
        <v>4</v>
      </c>
      <c r="C62" s="4" t="s">
        <v>6</v>
      </c>
      <c r="D62" s="6">
        <v>1</v>
      </c>
      <c r="E62" s="4" t="s">
        <v>31</v>
      </c>
      <c r="F62" s="6" t="s">
        <v>17</v>
      </c>
      <c r="G62" s="5" t="s">
        <v>103</v>
      </c>
      <c r="H62" s="7"/>
      <c r="I62" s="7"/>
    </row>
    <row r="63" spans="1:9" x14ac:dyDescent="0.25">
      <c r="A63" s="4" t="str">
        <f>"71685"</f>
        <v>71685</v>
      </c>
      <c r="B63" s="5">
        <v>4</v>
      </c>
      <c r="C63" s="4" t="s">
        <v>6</v>
      </c>
      <c r="D63" s="6">
        <v>1</v>
      </c>
      <c r="E63" s="4" t="s">
        <v>104</v>
      </c>
      <c r="F63" s="6">
        <v>1909</v>
      </c>
      <c r="G63" s="5" t="s">
        <v>105</v>
      </c>
      <c r="H63" s="7"/>
      <c r="I63" s="7"/>
    </row>
    <row r="64" spans="1:9" x14ac:dyDescent="0.25">
      <c r="A64" s="4" t="str">
        <f>"71917"</f>
        <v>71917</v>
      </c>
      <c r="B64" s="5">
        <v>4</v>
      </c>
      <c r="C64" s="4" t="s">
        <v>6</v>
      </c>
      <c r="D64" s="6">
        <v>1</v>
      </c>
      <c r="E64" s="4" t="s">
        <v>106</v>
      </c>
      <c r="F64" s="6">
        <v>1909</v>
      </c>
      <c r="G64" s="5" t="s">
        <v>107</v>
      </c>
      <c r="H64" s="7"/>
      <c r="I64" s="7"/>
    </row>
    <row r="65" spans="1:9" x14ac:dyDescent="0.25">
      <c r="A65" s="4" t="str">
        <f>"71918"</f>
        <v>71918</v>
      </c>
      <c r="B65" s="5">
        <v>4</v>
      </c>
      <c r="C65" s="4" t="s">
        <v>6</v>
      </c>
      <c r="D65" s="6">
        <v>1</v>
      </c>
      <c r="E65" s="4" t="s">
        <v>106</v>
      </c>
      <c r="F65" s="6">
        <v>1909</v>
      </c>
      <c r="G65" s="5" t="s">
        <v>64</v>
      </c>
      <c r="H65" s="7"/>
      <c r="I65" s="7"/>
    </row>
    <row r="66" spans="1:9" x14ac:dyDescent="0.25">
      <c r="A66" s="4" t="str">
        <f>"71964"</f>
        <v>71964</v>
      </c>
      <c r="B66" s="5">
        <v>15</v>
      </c>
      <c r="C66" s="4" t="s">
        <v>6</v>
      </c>
      <c r="D66" s="6">
        <v>1</v>
      </c>
      <c r="E66" s="4" t="s">
        <v>108</v>
      </c>
      <c r="F66" s="6">
        <v>1909</v>
      </c>
      <c r="G66" s="5" t="s">
        <v>109</v>
      </c>
      <c r="H66" s="7"/>
      <c r="I66" s="7"/>
    </row>
    <row r="67" spans="1:9" x14ac:dyDescent="0.25">
      <c r="A67" s="4" t="str">
        <f>"72025"</f>
        <v>72025</v>
      </c>
      <c r="B67" s="5">
        <v>10</v>
      </c>
      <c r="C67" s="4" t="s">
        <v>6</v>
      </c>
      <c r="D67" s="6">
        <v>1</v>
      </c>
      <c r="E67" s="4" t="s">
        <v>110</v>
      </c>
      <c r="F67" s="6" t="s">
        <v>111</v>
      </c>
      <c r="G67" s="5" t="s">
        <v>112</v>
      </c>
      <c r="H67" s="7"/>
      <c r="I67" s="7"/>
    </row>
    <row r="68" spans="1:9" x14ac:dyDescent="0.25">
      <c r="A68" s="4" t="str">
        <f>"72054"</f>
        <v>72054</v>
      </c>
      <c r="B68" s="5">
        <v>1</v>
      </c>
      <c r="C68" s="4" t="s">
        <v>6</v>
      </c>
      <c r="D68" s="6">
        <v>1</v>
      </c>
      <c r="E68" s="4" t="s">
        <v>113</v>
      </c>
      <c r="F68" s="6" t="s">
        <v>26</v>
      </c>
      <c r="G68" s="5" t="s">
        <v>114</v>
      </c>
      <c r="H68" s="7"/>
      <c r="I68" s="7"/>
    </row>
    <row r="69" spans="1:9" x14ac:dyDescent="0.25">
      <c r="A69" s="4" t="str">
        <f>"72148"</f>
        <v>72148</v>
      </c>
      <c r="B69" s="5">
        <v>2</v>
      </c>
      <c r="C69" s="4" t="s">
        <v>6</v>
      </c>
      <c r="D69" s="6">
        <v>1</v>
      </c>
      <c r="E69" s="4" t="s">
        <v>115</v>
      </c>
      <c r="F69" s="6" t="s">
        <v>17</v>
      </c>
      <c r="G69" s="5" t="s">
        <v>116</v>
      </c>
      <c r="H69" s="7"/>
      <c r="I69" s="7"/>
    </row>
    <row r="70" spans="1:9" x14ac:dyDescent="0.25">
      <c r="A70" s="4" t="str">
        <f>"72205"</f>
        <v>72205</v>
      </c>
      <c r="B70" s="5">
        <v>4</v>
      </c>
      <c r="C70" s="4" t="s">
        <v>6</v>
      </c>
      <c r="D70" s="6">
        <v>8</v>
      </c>
      <c r="E70" s="4" t="s">
        <v>117</v>
      </c>
      <c r="F70" s="6" t="s">
        <v>26</v>
      </c>
      <c r="G70" s="5" t="s">
        <v>118</v>
      </c>
      <c r="H70" s="7"/>
      <c r="I70" s="7"/>
    </row>
    <row r="71" spans="1:9" x14ac:dyDescent="0.25">
      <c r="A71" s="4" t="str">
        <f>"72290"</f>
        <v>72290</v>
      </c>
      <c r="B71" s="5">
        <v>3</v>
      </c>
      <c r="C71" s="4" t="s">
        <v>6</v>
      </c>
      <c r="D71" s="6">
        <v>1</v>
      </c>
      <c r="E71" s="4" t="s">
        <v>67</v>
      </c>
      <c r="F71" s="6" t="s">
        <v>17</v>
      </c>
      <c r="G71" s="5" t="s">
        <v>119</v>
      </c>
      <c r="H71" s="7"/>
      <c r="I71" s="7"/>
    </row>
    <row r="72" spans="1:9" x14ac:dyDescent="0.25">
      <c r="A72" s="4" t="str">
        <f>"72293"</f>
        <v>72293</v>
      </c>
      <c r="B72" s="5">
        <v>20</v>
      </c>
      <c r="C72" s="4" t="s">
        <v>6</v>
      </c>
      <c r="D72" s="6">
        <v>1</v>
      </c>
      <c r="E72" s="4" t="s">
        <v>120</v>
      </c>
      <c r="F72" s="6" t="s">
        <v>17</v>
      </c>
      <c r="G72" s="5" t="s">
        <v>121</v>
      </c>
      <c r="H72" s="7"/>
      <c r="I72" s="7"/>
    </row>
    <row r="73" spans="1:9" x14ac:dyDescent="0.25">
      <c r="A73" s="4" t="str">
        <f>"72297"</f>
        <v>72297</v>
      </c>
      <c r="B73" s="5">
        <v>5</v>
      </c>
      <c r="C73" s="4" t="s">
        <v>6</v>
      </c>
      <c r="D73" s="6">
        <v>1</v>
      </c>
      <c r="E73" s="4" t="s">
        <v>122</v>
      </c>
      <c r="F73" s="6" t="s">
        <v>17</v>
      </c>
      <c r="G73" s="5" t="s">
        <v>123</v>
      </c>
      <c r="H73" s="7"/>
      <c r="I73" s="7"/>
    </row>
    <row r="74" spans="1:9" x14ac:dyDescent="0.25">
      <c r="A74" s="4" t="str">
        <f>"72298"</f>
        <v>72298</v>
      </c>
      <c r="B74" s="5">
        <v>15</v>
      </c>
      <c r="C74" s="4" t="s">
        <v>6</v>
      </c>
      <c r="D74" s="6">
        <v>1</v>
      </c>
      <c r="E74" s="4" t="s">
        <v>120</v>
      </c>
      <c r="F74" s="6" t="s">
        <v>17</v>
      </c>
      <c r="G74" s="5" t="s">
        <v>124</v>
      </c>
      <c r="H74" s="7"/>
      <c r="I74" s="7"/>
    </row>
    <row r="75" spans="1:9" x14ac:dyDescent="0.25">
      <c r="A75" s="4" t="str">
        <f>"72307"</f>
        <v>72307</v>
      </c>
      <c r="B75" s="5">
        <v>10</v>
      </c>
      <c r="C75" s="4" t="s">
        <v>6</v>
      </c>
      <c r="D75" s="6">
        <v>1</v>
      </c>
      <c r="E75" s="4" t="s">
        <v>120</v>
      </c>
      <c r="F75" s="6" t="s">
        <v>17</v>
      </c>
      <c r="G75" s="5" t="s">
        <v>125</v>
      </c>
      <c r="H75" s="7"/>
      <c r="I75" s="7"/>
    </row>
    <row r="76" spans="1:9" ht="30" x14ac:dyDescent="0.25">
      <c r="A76" s="4" t="str">
        <f>"82252"</f>
        <v>82252</v>
      </c>
      <c r="B76" s="5">
        <v>8</v>
      </c>
      <c r="C76" s="4" t="s">
        <v>6</v>
      </c>
      <c r="D76" s="6">
        <v>6</v>
      </c>
      <c r="E76" s="4" t="s">
        <v>101</v>
      </c>
      <c r="F76" s="6" t="s">
        <v>126</v>
      </c>
      <c r="G76" s="5" t="s">
        <v>127</v>
      </c>
      <c r="H76" s="7"/>
      <c r="I76" s="7"/>
    </row>
    <row r="77" spans="1:9" x14ac:dyDescent="0.25">
      <c r="A77" s="4" t="str">
        <f>"86210"</f>
        <v>86210</v>
      </c>
      <c r="B77" s="5">
        <v>8</v>
      </c>
      <c r="C77" s="4" t="s">
        <v>6</v>
      </c>
      <c r="D77" s="6">
        <v>1</v>
      </c>
      <c r="E77" s="4" t="s">
        <v>31</v>
      </c>
      <c r="F77" s="6" t="s">
        <v>128</v>
      </c>
      <c r="G77" s="5" t="s">
        <v>129</v>
      </c>
      <c r="H77" s="7"/>
      <c r="I77" s="7"/>
    </row>
    <row r="78" spans="1:9" ht="30" x14ac:dyDescent="0.25">
      <c r="A78" s="4" t="str">
        <f>"86274"</f>
        <v>86274</v>
      </c>
      <c r="B78" s="5">
        <v>6</v>
      </c>
      <c r="C78" s="4" t="s">
        <v>6</v>
      </c>
      <c r="D78" s="6">
        <v>1</v>
      </c>
      <c r="E78" s="4" t="s">
        <v>130</v>
      </c>
      <c r="F78" s="6" t="s">
        <v>131</v>
      </c>
      <c r="G78" s="5" t="s">
        <v>132</v>
      </c>
      <c r="H78" s="7"/>
      <c r="I78" s="7"/>
    </row>
    <row r="79" spans="1:9" ht="30" x14ac:dyDescent="0.25">
      <c r="A79" s="4" t="str">
        <f>"86586"</f>
        <v>86586</v>
      </c>
      <c r="B79" s="5">
        <v>2</v>
      </c>
      <c r="C79" s="4" t="s">
        <v>6</v>
      </c>
      <c r="D79" s="6">
        <v>1</v>
      </c>
      <c r="E79" s="4" t="s">
        <v>133</v>
      </c>
      <c r="F79" s="6" t="s">
        <v>134</v>
      </c>
      <c r="G79" s="5" t="s">
        <v>135</v>
      </c>
      <c r="H79" s="7"/>
      <c r="I79" s="7"/>
    </row>
    <row r="80" spans="1:9" ht="30" x14ac:dyDescent="0.25">
      <c r="A80" s="4" t="str">
        <f>"87145"</f>
        <v>87145</v>
      </c>
      <c r="B80" s="5">
        <v>8</v>
      </c>
      <c r="C80" s="4" t="s">
        <v>6</v>
      </c>
      <c r="D80" s="6">
        <v>24</v>
      </c>
      <c r="E80" s="4" t="s">
        <v>21</v>
      </c>
      <c r="F80" s="6" t="s">
        <v>136</v>
      </c>
      <c r="G80" s="5" t="s">
        <v>137</v>
      </c>
      <c r="H80" s="7"/>
      <c r="I80" s="7"/>
    </row>
    <row r="81" spans="1:9" x14ac:dyDescent="0.25">
      <c r="A81" s="4" t="str">
        <f>"87520"</f>
        <v>87520</v>
      </c>
      <c r="B81" s="5">
        <v>2</v>
      </c>
      <c r="C81" s="4" t="s">
        <v>6</v>
      </c>
      <c r="D81" s="6">
        <v>1</v>
      </c>
      <c r="E81" s="4" t="s">
        <v>138</v>
      </c>
      <c r="F81" s="6" t="s">
        <v>139</v>
      </c>
      <c r="G81" s="5" t="s">
        <v>140</v>
      </c>
      <c r="H81" s="7"/>
      <c r="I81" s="7"/>
    </row>
    <row r="82" spans="1:9" x14ac:dyDescent="0.25">
      <c r="A82" s="4" t="str">
        <f>"88220"</f>
        <v>88220</v>
      </c>
      <c r="B82" s="5">
        <v>3</v>
      </c>
      <c r="C82" s="4" t="s">
        <v>6</v>
      </c>
      <c r="D82" s="6">
        <v>6</v>
      </c>
      <c r="E82" s="4">
        <v>10</v>
      </c>
      <c r="F82" s="6" t="s">
        <v>141</v>
      </c>
      <c r="G82" s="5" t="s">
        <v>142</v>
      </c>
      <c r="H82" s="7"/>
      <c r="I82" s="7"/>
    </row>
    <row r="83" spans="1:9" x14ac:dyDescent="0.25">
      <c r="A83" s="4" t="str">
        <f>"94665"</f>
        <v>94665</v>
      </c>
      <c r="B83" s="5">
        <v>1</v>
      </c>
      <c r="C83" s="4" t="s">
        <v>6</v>
      </c>
      <c r="D83" s="6">
        <v>1</v>
      </c>
      <c r="E83" s="4" t="s">
        <v>31</v>
      </c>
      <c r="F83" s="6" t="s">
        <v>143</v>
      </c>
      <c r="G83" s="5" t="s">
        <v>144</v>
      </c>
      <c r="H83" s="7"/>
      <c r="I83" s="7"/>
    </row>
    <row r="84" spans="1:9" ht="30" x14ac:dyDescent="0.25">
      <c r="A84" s="4" t="str">
        <f>"97162"</f>
        <v>97162</v>
      </c>
      <c r="B84" s="5">
        <v>1</v>
      </c>
      <c r="C84" s="4" t="s">
        <v>6</v>
      </c>
      <c r="D84" s="6">
        <v>6</v>
      </c>
      <c r="E84" s="4" t="s">
        <v>101</v>
      </c>
      <c r="F84" s="6" t="s">
        <v>146</v>
      </c>
      <c r="G84" s="5" t="s">
        <v>147</v>
      </c>
      <c r="H84" s="7"/>
      <c r="I84" s="7"/>
    </row>
    <row r="85" spans="1:9" x14ac:dyDescent="0.25">
      <c r="A85" s="4" t="str">
        <f>"97265"</f>
        <v>97265</v>
      </c>
      <c r="B85" s="5">
        <v>5</v>
      </c>
      <c r="C85" s="4" t="s">
        <v>6</v>
      </c>
      <c r="D85" s="6">
        <v>6</v>
      </c>
      <c r="E85" s="4" t="s">
        <v>7</v>
      </c>
      <c r="F85" s="6" t="s">
        <v>148</v>
      </c>
      <c r="G85" s="5" t="s">
        <v>149</v>
      </c>
      <c r="H85" s="7"/>
      <c r="I85" s="7"/>
    </row>
    <row r="86" spans="1:9" ht="30" x14ac:dyDescent="0.25">
      <c r="A86" s="4" t="str">
        <f>"99399"</f>
        <v>99399</v>
      </c>
      <c r="B86" s="5">
        <v>1</v>
      </c>
      <c r="C86" s="4" t="s">
        <v>6</v>
      </c>
      <c r="D86" s="6">
        <v>10</v>
      </c>
      <c r="E86" s="4" t="s">
        <v>150</v>
      </c>
      <c r="F86" s="6" t="s">
        <v>151</v>
      </c>
      <c r="G86" s="5" t="s">
        <v>152</v>
      </c>
      <c r="H86" s="7"/>
      <c r="I86" s="7"/>
    </row>
    <row r="87" spans="1:9" ht="30" x14ac:dyDescent="0.25">
      <c r="A87" s="4" t="str">
        <f>"66620"</f>
        <v>66620</v>
      </c>
      <c r="B87" s="5">
        <v>10</v>
      </c>
      <c r="C87" s="4" t="s">
        <v>6</v>
      </c>
      <c r="D87" s="6">
        <v>2</v>
      </c>
      <c r="E87" s="4" t="s">
        <v>59</v>
      </c>
      <c r="F87" s="6" t="s">
        <v>153</v>
      </c>
      <c r="G87" s="5" t="s">
        <v>154</v>
      </c>
      <c r="H87" s="7"/>
      <c r="I87" s="7"/>
    </row>
    <row r="88" spans="1:9" x14ac:dyDescent="0.25">
      <c r="A88" s="4" t="str">
        <f>"71190"</f>
        <v>71190</v>
      </c>
      <c r="B88" s="5">
        <v>6</v>
      </c>
      <c r="C88" s="4" t="s">
        <v>6</v>
      </c>
      <c r="D88" s="6">
        <v>1</v>
      </c>
      <c r="E88" s="4" t="s">
        <v>155</v>
      </c>
      <c r="F88" s="6" t="s">
        <v>156</v>
      </c>
      <c r="G88" s="5" t="s">
        <v>157</v>
      </c>
      <c r="H88" s="7"/>
      <c r="I88" s="7"/>
    </row>
    <row r="89" spans="1:9" x14ac:dyDescent="0.25">
      <c r="A89" s="4" t="str">
        <f>"71183"</f>
        <v>71183</v>
      </c>
      <c r="B89" s="5">
        <v>6</v>
      </c>
      <c r="C89" s="4" t="s">
        <v>6</v>
      </c>
      <c r="D89" s="6">
        <v>1</v>
      </c>
      <c r="E89" s="4" t="s">
        <v>155</v>
      </c>
      <c r="F89" s="6" t="s">
        <v>156</v>
      </c>
      <c r="G89" s="5" t="s">
        <v>158</v>
      </c>
      <c r="H89" s="7"/>
      <c r="I89" s="7"/>
    </row>
    <row r="90" spans="1:9" x14ac:dyDescent="0.25">
      <c r="A90" s="4" t="str">
        <f>"63120"</f>
        <v>63120</v>
      </c>
      <c r="B90" s="5">
        <v>12</v>
      </c>
      <c r="C90" s="4" t="s">
        <v>6</v>
      </c>
      <c r="D90" s="6">
        <v>1</v>
      </c>
      <c r="E90" s="4" t="s">
        <v>159</v>
      </c>
      <c r="F90" s="6" t="s">
        <v>160</v>
      </c>
      <c r="G90" s="5" t="s">
        <v>161</v>
      </c>
      <c r="H90" s="7"/>
      <c r="I90" s="7"/>
    </row>
    <row r="91" spans="1:9" x14ac:dyDescent="0.25">
      <c r="A91" s="4" t="str">
        <f>"57504"</f>
        <v>57504</v>
      </c>
      <c r="B91" s="5">
        <v>5</v>
      </c>
      <c r="C91" s="4" t="s">
        <v>6</v>
      </c>
      <c r="D91" s="6">
        <v>16</v>
      </c>
      <c r="E91" s="4" t="s">
        <v>162</v>
      </c>
      <c r="F91" s="6" t="s">
        <v>163</v>
      </c>
      <c r="G91" s="5" t="s">
        <v>164</v>
      </c>
      <c r="H91" s="7"/>
      <c r="I91" s="7"/>
    </row>
    <row r="92" spans="1:9" ht="30" x14ac:dyDescent="0.25">
      <c r="A92" s="4" t="str">
        <f>"55842"</f>
        <v>55842</v>
      </c>
      <c r="B92" s="5">
        <v>8</v>
      </c>
      <c r="C92" s="4" t="s">
        <v>6</v>
      </c>
      <c r="D92" s="6">
        <v>20</v>
      </c>
      <c r="E92" s="4" t="s">
        <v>165</v>
      </c>
      <c r="F92" s="6" t="s">
        <v>166</v>
      </c>
      <c r="G92" s="5" t="s">
        <v>167</v>
      </c>
      <c r="H92" s="7"/>
      <c r="I92" s="7"/>
    </row>
    <row r="93" spans="1:9" x14ac:dyDescent="0.25">
      <c r="A93" s="4" t="str">
        <f>"54801"</f>
        <v>54801</v>
      </c>
      <c r="B93" s="5">
        <v>2</v>
      </c>
      <c r="C93" s="4" t="s">
        <v>6</v>
      </c>
      <c r="D93" s="6">
        <v>16</v>
      </c>
      <c r="E93" s="4" t="s">
        <v>168</v>
      </c>
      <c r="F93" s="6" t="s">
        <v>10</v>
      </c>
      <c r="G93" s="5" t="s">
        <v>169</v>
      </c>
      <c r="H93" s="7"/>
      <c r="I93" s="7"/>
    </row>
    <row r="94" spans="1:9" ht="30" x14ac:dyDescent="0.25">
      <c r="A94" s="4" t="str">
        <f>"54543"</f>
        <v>54543</v>
      </c>
      <c r="B94" s="5">
        <v>8</v>
      </c>
      <c r="C94" s="4" t="s">
        <v>6</v>
      </c>
      <c r="D94" s="6">
        <v>160</v>
      </c>
      <c r="E94" s="4" t="s">
        <v>170</v>
      </c>
      <c r="F94" s="6" t="s">
        <v>171</v>
      </c>
      <c r="G94" s="5" t="s">
        <v>172</v>
      </c>
      <c r="H94" s="7"/>
      <c r="I94" s="7"/>
    </row>
    <row r="95" spans="1:9" ht="30" x14ac:dyDescent="0.25">
      <c r="A95" s="4" t="str">
        <f>"39833"</f>
        <v>39833</v>
      </c>
      <c r="B95" s="5">
        <v>2</v>
      </c>
      <c r="C95" s="4" t="s">
        <v>8</v>
      </c>
      <c r="D95" s="6">
        <v>6</v>
      </c>
      <c r="E95" s="4" t="s">
        <v>173</v>
      </c>
      <c r="F95" s="6" t="s">
        <v>174</v>
      </c>
      <c r="G95" s="5" t="s">
        <v>175</v>
      </c>
      <c r="H95" s="7"/>
      <c r="I95" s="7"/>
    </row>
    <row r="96" spans="1:9" ht="30" x14ac:dyDescent="0.25">
      <c r="A96" s="4"/>
      <c r="B96" s="5"/>
      <c r="C96" s="4"/>
      <c r="D96" s="6" t="s">
        <v>886</v>
      </c>
      <c r="E96" s="4"/>
      <c r="F96" s="6"/>
      <c r="G96" s="5" t="s">
        <v>779</v>
      </c>
      <c r="H96" s="7"/>
      <c r="I96" s="7"/>
    </row>
    <row r="97" spans="1:9" ht="30" x14ac:dyDescent="0.25">
      <c r="A97" s="4" t="str">
        <f>"6983"</f>
        <v>6983</v>
      </c>
      <c r="B97" s="5">
        <v>6</v>
      </c>
      <c r="C97" s="4" t="s">
        <v>6</v>
      </c>
      <c r="D97" s="6">
        <v>6</v>
      </c>
      <c r="E97" s="4" t="s">
        <v>101</v>
      </c>
      <c r="F97" s="6" t="s">
        <v>176</v>
      </c>
      <c r="G97" s="5" t="s">
        <v>780</v>
      </c>
      <c r="H97" s="7"/>
      <c r="I97" s="7"/>
    </row>
    <row r="98" spans="1:9" ht="30" x14ac:dyDescent="0.25">
      <c r="A98" s="4" t="str">
        <f>"4824"</f>
        <v>4824</v>
      </c>
      <c r="B98" s="5">
        <v>5</v>
      </c>
      <c r="C98" s="4" t="s">
        <v>6</v>
      </c>
      <c r="D98" s="6">
        <v>120</v>
      </c>
      <c r="E98" s="4" t="s">
        <v>25</v>
      </c>
      <c r="F98" s="6" t="s">
        <v>177</v>
      </c>
      <c r="G98" s="5" t="s">
        <v>178</v>
      </c>
      <c r="H98" s="7"/>
      <c r="I98" s="7"/>
    </row>
    <row r="99" spans="1:9" x14ac:dyDescent="0.25">
      <c r="A99" s="4" t="str">
        <f>"210"</f>
        <v>210</v>
      </c>
      <c r="B99" s="5">
        <v>25</v>
      </c>
      <c r="C99" s="4" t="s">
        <v>6</v>
      </c>
      <c r="D99" s="6">
        <v>36</v>
      </c>
      <c r="E99" s="4" t="s">
        <v>120</v>
      </c>
      <c r="F99" s="6" t="s">
        <v>179</v>
      </c>
      <c r="G99" s="5" t="s">
        <v>180</v>
      </c>
      <c r="H99" s="7"/>
      <c r="I99" s="7"/>
    </row>
    <row r="100" spans="1:9" x14ac:dyDescent="0.25">
      <c r="A100" s="4" t="str">
        <f>"314"</f>
        <v>314</v>
      </c>
      <c r="B100" s="5">
        <v>4</v>
      </c>
      <c r="C100" s="4" t="s">
        <v>6</v>
      </c>
      <c r="D100" s="6">
        <v>6</v>
      </c>
      <c r="E100" s="4" t="s">
        <v>181</v>
      </c>
      <c r="F100" s="6" t="s">
        <v>182</v>
      </c>
      <c r="G100" s="5" t="s">
        <v>183</v>
      </c>
      <c r="H100" s="7"/>
      <c r="I100" s="7"/>
    </row>
    <row r="101" spans="1:9" ht="30" x14ac:dyDescent="0.25">
      <c r="A101" s="4" t="str">
        <f>"2598"</f>
        <v>2598</v>
      </c>
      <c r="B101" s="5">
        <v>8</v>
      </c>
      <c r="C101" s="4" t="s">
        <v>6</v>
      </c>
      <c r="D101" s="6">
        <v>120</v>
      </c>
      <c r="E101" s="4" t="s">
        <v>184</v>
      </c>
      <c r="F101" s="6" t="s">
        <v>185</v>
      </c>
      <c r="G101" s="5" t="s">
        <v>186</v>
      </c>
      <c r="H101" s="7"/>
      <c r="I101" s="7"/>
    </row>
    <row r="102" spans="1:9" x14ac:dyDescent="0.25">
      <c r="A102" s="4" t="str">
        <f>"4377"</f>
        <v>4377</v>
      </c>
      <c r="B102" s="5">
        <v>2</v>
      </c>
      <c r="C102" s="4" t="s">
        <v>6</v>
      </c>
      <c r="D102" s="6">
        <v>192</v>
      </c>
      <c r="E102" s="4" t="s">
        <v>170</v>
      </c>
      <c r="F102" s="6" t="s">
        <v>187</v>
      </c>
      <c r="G102" s="5" t="s">
        <v>188</v>
      </c>
      <c r="H102" s="7"/>
      <c r="I102" s="7"/>
    </row>
    <row r="103" spans="1:9" x14ac:dyDescent="0.25">
      <c r="A103" s="4" t="str">
        <f>"4440"</f>
        <v>4440</v>
      </c>
      <c r="B103" s="5">
        <v>8</v>
      </c>
      <c r="C103" s="4" t="s">
        <v>6</v>
      </c>
      <c r="D103" s="6">
        <v>120</v>
      </c>
      <c r="E103" s="4" t="s">
        <v>189</v>
      </c>
      <c r="F103" s="6" t="s">
        <v>187</v>
      </c>
      <c r="G103" s="5" t="s">
        <v>190</v>
      </c>
      <c r="H103" s="7"/>
      <c r="I103" s="7"/>
    </row>
    <row r="104" spans="1:9" x14ac:dyDescent="0.25">
      <c r="A104" s="4" t="str">
        <f>"4463"</f>
        <v>4463</v>
      </c>
      <c r="B104" s="5">
        <v>2</v>
      </c>
      <c r="C104" s="4" t="s">
        <v>6</v>
      </c>
      <c r="D104" s="6">
        <v>160</v>
      </c>
      <c r="E104" s="4" t="s">
        <v>191</v>
      </c>
      <c r="F104" s="6" t="s">
        <v>187</v>
      </c>
      <c r="G104" s="5" t="s">
        <v>192</v>
      </c>
      <c r="H104" s="7"/>
      <c r="I104" s="7"/>
    </row>
    <row r="105" spans="1:9" ht="30" x14ac:dyDescent="0.25">
      <c r="A105" s="4" t="str">
        <f>"6445"</f>
        <v>6445</v>
      </c>
      <c r="B105" s="5">
        <v>2</v>
      </c>
      <c r="C105" s="4" t="s">
        <v>6</v>
      </c>
      <c r="D105" s="6">
        <v>6</v>
      </c>
      <c r="E105" s="4" t="s">
        <v>7</v>
      </c>
      <c r="F105" s="6" t="s">
        <v>193</v>
      </c>
      <c r="G105" s="5" t="s">
        <v>194</v>
      </c>
      <c r="H105" s="7"/>
      <c r="I105" s="7"/>
    </row>
    <row r="106" spans="1:9" ht="30" x14ac:dyDescent="0.25">
      <c r="A106" s="4" t="str">
        <f>"7030"</f>
        <v>7030</v>
      </c>
      <c r="B106" s="5">
        <v>2</v>
      </c>
      <c r="C106" s="4" t="s">
        <v>6</v>
      </c>
      <c r="D106" s="6">
        <v>2</v>
      </c>
      <c r="E106" s="4" t="s">
        <v>7</v>
      </c>
      <c r="F106" s="6" t="s">
        <v>195</v>
      </c>
      <c r="G106" s="5" t="s">
        <v>196</v>
      </c>
      <c r="H106" s="7"/>
      <c r="I106" s="7"/>
    </row>
    <row r="107" spans="1:9" ht="30" x14ac:dyDescent="0.25">
      <c r="A107" s="4" t="str">
        <f>"9000"</f>
        <v>9000</v>
      </c>
      <c r="B107" s="5">
        <v>1</v>
      </c>
      <c r="C107" s="4" t="s">
        <v>6</v>
      </c>
      <c r="D107" s="6">
        <v>6</v>
      </c>
      <c r="E107" s="4" t="s">
        <v>7</v>
      </c>
      <c r="F107" s="6" t="s">
        <v>134</v>
      </c>
      <c r="G107" s="5" t="s">
        <v>197</v>
      </c>
      <c r="H107" s="7"/>
      <c r="I107" s="7"/>
    </row>
    <row r="108" spans="1:9" x14ac:dyDescent="0.25">
      <c r="A108" s="4" t="str">
        <f>"12950"</f>
        <v>12950</v>
      </c>
      <c r="B108" s="5">
        <v>2</v>
      </c>
      <c r="C108" s="4" t="s">
        <v>8</v>
      </c>
      <c r="D108" s="6">
        <v>4</v>
      </c>
      <c r="E108" s="4" t="s">
        <v>198</v>
      </c>
      <c r="F108" s="6" t="s">
        <v>176</v>
      </c>
      <c r="G108" s="5" t="s">
        <v>199</v>
      </c>
      <c r="H108" s="7"/>
      <c r="I108" s="7"/>
    </row>
    <row r="109" spans="1:9" ht="30" x14ac:dyDescent="0.25">
      <c r="A109" s="4"/>
      <c r="B109" s="5"/>
      <c r="C109" s="4"/>
      <c r="D109" s="6" t="s">
        <v>886</v>
      </c>
      <c r="E109" s="4"/>
      <c r="F109" s="6"/>
      <c r="G109" s="5" t="s">
        <v>887</v>
      </c>
      <c r="H109" s="7"/>
      <c r="I109" s="7"/>
    </row>
    <row r="110" spans="1:9" ht="30" x14ac:dyDescent="0.25">
      <c r="A110" s="4" t="str">
        <f>"13660"</f>
        <v>13660</v>
      </c>
      <c r="B110" s="5">
        <v>2</v>
      </c>
      <c r="C110" s="4" t="s">
        <v>6</v>
      </c>
      <c r="D110" s="6">
        <v>8</v>
      </c>
      <c r="E110" s="4" t="s">
        <v>200</v>
      </c>
      <c r="F110" s="6" t="s">
        <v>201</v>
      </c>
      <c r="G110" s="5" t="s">
        <v>202</v>
      </c>
      <c r="H110" s="7"/>
      <c r="I110" s="7"/>
    </row>
    <row r="111" spans="1:9" x14ac:dyDescent="0.25">
      <c r="A111" s="4" t="str">
        <f>"15226"</f>
        <v>15226</v>
      </c>
      <c r="B111" s="5">
        <v>9</v>
      </c>
      <c r="C111" s="4" t="s">
        <v>8</v>
      </c>
      <c r="D111" s="6">
        <v>3</v>
      </c>
      <c r="E111" s="4" t="s">
        <v>203</v>
      </c>
      <c r="F111" s="6" t="s">
        <v>204</v>
      </c>
      <c r="G111" s="5" t="s">
        <v>205</v>
      </c>
      <c r="H111" s="7"/>
      <c r="I111" s="7"/>
    </row>
    <row r="112" spans="1:9" x14ac:dyDescent="0.25">
      <c r="A112" s="4"/>
      <c r="B112" s="5"/>
      <c r="C112" s="4"/>
      <c r="D112" s="6" t="s">
        <v>886</v>
      </c>
      <c r="E112" s="4"/>
      <c r="F112" s="6"/>
      <c r="G112" s="5" t="s">
        <v>888</v>
      </c>
      <c r="H112" s="7"/>
      <c r="I112" s="7"/>
    </row>
    <row r="113" spans="1:9" ht="30" x14ac:dyDescent="0.25">
      <c r="A113" s="4" t="str">
        <f>"16000"</f>
        <v>16000</v>
      </c>
      <c r="B113" s="5">
        <v>2</v>
      </c>
      <c r="C113" s="4" t="s">
        <v>8</v>
      </c>
      <c r="D113" s="6">
        <v>12</v>
      </c>
      <c r="E113" s="4" t="s">
        <v>206</v>
      </c>
      <c r="F113" s="6" t="s">
        <v>207</v>
      </c>
      <c r="G113" s="5" t="s">
        <v>208</v>
      </c>
      <c r="H113" s="7"/>
      <c r="I113" s="7"/>
    </row>
    <row r="114" spans="1:9" ht="30" x14ac:dyDescent="0.25">
      <c r="A114" s="4"/>
      <c r="B114" s="5"/>
      <c r="C114" s="4"/>
      <c r="D114" s="6" t="s">
        <v>886</v>
      </c>
      <c r="E114" s="4"/>
      <c r="F114" s="6"/>
      <c r="G114" s="5" t="s">
        <v>781</v>
      </c>
      <c r="H114" s="7"/>
      <c r="I114" s="7"/>
    </row>
    <row r="115" spans="1:9" x14ac:dyDescent="0.25">
      <c r="A115" s="4" t="str">
        <f>"16112"</f>
        <v>16112</v>
      </c>
      <c r="B115" s="5">
        <v>2</v>
      </c>
      <c r="C115" s="4" t="s">
        <v>6</v>
      </c>
      <c r="D115" s="6">
        <v>1</v>
      </c>
      <c r="E115" s="4" t="s">
        <v>209</v>
      </c>
      <c r="F115" s="6" t="s">
        <v>210</v>
      </c>
      <c r="G115" s="5" t="s">
        <v>211</v>
      </c>
      <c r="H115" s="7"/>
      <c r="I115" s="7"/>
    </row>
    <row r="116" spans="1:9" x14ac:dyDescent="0.25">
      <c r="A116" s="4" t="str">
        <f>"16254"</f>
        <v>16254</v>
      </c>
      <c r="B116" s="5">
        <v>2</v>
      </c>
      <c r="C116" s="4" t="s">
        <v>6</v>
      </c>
      <c r="D116" s="6">
        <v>1</v>
      </c>
      <c r="E116" s="4" t="s">
        <v>212</v>
      </c>
      <c r="F116" s="6" t="s">
        <v>213</v>
      </c>
      <c r="G116" s="5" t="s">
        <v>214</v>
      </c>
      <c r="H116" s="7"/>
      <c r="I116" s="7"/>
    </row>
    <row r="117" spans="1:9" x14ac:dyDescent="0.25">
      <c r="A117" s="4" t="str">
        <f>"17484"</f>
        <v>17484</v>
      </c>
      <c r="B117" s="5">
        <v>10</v>
      </c>
      <c r="C117" s="4" t="s">
        <v>6</v>
      </c>
      <c r="D117" s="6">
        <v>85</v>
      </c>
      <c r="E117" s="4" t="s">
        <v>215</v>
      </c>
      <c r="F117" s="6" t="s">
        <v>216</v>
      </c>
      <c r="G117" s="5" t="s">
        <v>217</v>
      </c>
      <c r="H117" s="7"/>
      <c r="I117" s="7"/>
    </row>
    <row r="118" spans="1:9" x14ac:dyDescent="0.25">
      <c r="A118" s="4" t="str">
        <f>"18340"</f>
        <v>18340</v>
      </c>
      <c r="B118" s="5">
        <v>6</v>
      </c>
      <c r="C118" s="4" t="s">
        <v>8</v>
      </c>
      <c r="D118" s="6">
        <v>6</v>
      </c>
      <c r="E118" s="4" t="s">
        <v>218</v>
      </c>
      <c r="F118" s="6" t="s">
        <v>219</v>
      </c>
      <c r="G118" s="5" t="s">
        <v>220</v>
      </c>
      <c r="H118" s="7"/>
      <c r="I118" s="7"/>
    </row>
    <row r="119" spans="1:9" ht="30" x14ac:dyDescent="0.25">
      <c r="A119" s="4"/>
      <c r="B119" s="5"/>
      <c r="C119" s="4"/>
      <c r="D119" s="6" t="s">
        <v>886</v>
      </c>
      <c r="E119" s="4"/>
      <c r="F119" s="6"/>
      <c r="G119" s="5" t="s">
        <v>782</v>
      </c>
      <c r="H119" s="7"/>
      <c r="I119" s="7"/>
    </row>
    <row r="120" spans="1:9" x14ac:dyDescent="0.25">
      <c r="A120" s="4" t="str">
        <f>"18900"</f>
        <v>18900</v>
      </c>
      <c r="B120" s="5">
        <v>4</v>
      </c>
      <c r="C120" s="4" t="s">
        <v>6</v>
      </c>
      <c r="D120" s="6">
        <v>24</v>
      </c>
      <c r="E120" s="4" t="s">
        <v>221</v>
      </c>
      <c r="F120" s="6" t="s">
        <v>222</v>
      </c>
      <c r="G120" s="5" t="s">
        <v>223</v>
      </c>
      <c r="H120" s="7"/>
      <c r="I120" s="7"/>
    </row>
    <row r="121" spans="1:9" x14ac:dyDescent="0.25">
      <c r="A121" s="4" t="str">
        <f>"18922"</f>
        <v>18922</v>
      </c>
      <c r="B121" s="5">
        <v>40</v>
      </c>
      <c r="C121" s="4" t="s">
        <v>8</v>
      </c>
      <c r="D121" s="6">
        <v>24</v>
      </c>
      <c r="E121" s="4" t="s">
        <v>224</v>
      </c>
      <c r="F121" s="6" t="s">
        <v>225</v>
      </c>
      <c r="G121" s="5" t="s">
        <v>226</v>
      </c>
      <c r="H121" s="7"/>
      <c r="I121" s="7"/>
    </row>
    <row r="122" spans="1:9" ht="30" x14ac:dyDescent="0.25">
      <c r="A122" s="4"/>
      <c r="B122" s="5"/>
      <c r="C122" s="4"/>
      <c r="D122" s="6" t="s">
        <v>886</v>
      </c>
      <c r="E122" s="4"/>
      <c r="F122" s="6"/>
      <c r="G122" s="5" t="s">
        <v>783</v>
      </c>
      <c r="H122" s="7"/>
      <c r="I122" s="7"/>
    </row>
    <row r="123" spans="1:9" x14ac:dyDescent="0.25">
      <c r="A123" s="4" t="str">
        <f>"19037"</f>
        <v>19037</v>
      </c>
      <c r="B123" s="5">
        <v>4</v>
      </c>
      <c r="C123" s="4" t="s">
        <v>6</v>
      </c>
      <c r="D123" s="6">
        <v>24</v>
      </c>
      <c r="E123" s="4" t="s">
        <v>221</v>
      </c>
      <c r="F123" s="6" t="s">
        <v>227</v>
      </c>
      <c r="G123" s="5" t="s">
        <v>228</v>
      </c>
      <c r="H123" s="7"/>
      <c r="I123" s="7"/>
    </row>
    <row r="124" spans="1:9" x14ac:dyDescent="0.25">
      <c r="A124" s="4" t="str">
        <f>"19070"</f>
        <v>19070</v>
      </c>
      <c r="B124" s="5">
        <v>2</v>
      </c>
      <c r="C124" s="4" t="s">
        <v>6</v>
      </c>
      <c r="D124" s="6">
        <v>24</v>
      </c>
      <c r="E124" s="4" t="s">
        <v>221</v>
      </c>
      <c r="F124" s="6" t="s">
        <v>227</v>
      </c>
      <c r="G124" s="5" t="s">
        <v>229</v>
      </c>
      <c r="H124" s="7"/>
      <c r="I124" s="7"/>
    </row>
    <row r="125" spans="1:9" ht="30" x14ac:dyDescent="0.25">
      <c r="A125" s="4" t="str">
        <f>"21985"</f>
        <v>21985</v>
      </c>
      <c r="B125" s="5">
        <v>5</v>
      </c>
      <c r="C125" s="4" t="s">
        <v>6</v>
      </c>
      <c r="D125" s="6">
        <v>4</v>
      </c>
      <c r="E125" s="4" t="s">
        <v>230</v>
      </c>
      <c r="F125" s="6" t="s">
        <v>195</v>
      </c>
      <c r="G125" s="5" t="s">
        <v>231</v>
      </c>
      <c r="H125" s="7"/>
      <c r="I125" s="7"/>
    </row>
    <row r="126" spans="1:9" ht="30" x14ac:dyDescent="0.25">
      <c r="A126" s="4" t="str">
        <f>"22056"</f>
        <v>22056</v>
      </c>
      <c r="B126" s="5">
        <v>5</v>
      </c>
      <c r="C126" s="4" t="s">
        <v>6</v>
      </c>
      <c r="D126" s="6">
        <v>4</v>
      </c>
      <c r="E126" s="4" t="s">
        <v>232</v>
      </c>
      <c r="F126" s="6" t="s">
        <v>233</v>
      </c>
      <c r="G126" s="5" t="s">
        <v>234</v>
      </c>
      <c r="H126" s="7"/>
      <c r="I126" s="7"/>
    </row>
    <row r="127" spans="1:9" ht="30" x14ac:dyDescent="0.25">
      <c r="A127" s="4" t="str">
        <f>"22058"</f>
        <v>22058</v>
      </c>
      <c r="B127" s="5">
        <v>5</v>
      </c>
      <c r="C127" s="4" t="s">
        <v>6</v>
      </c>
      <c r="D127" s="6">
        <v>4</v>
      </c>
      <c r="E127" s="4" t="s">
        <v>235</v>
      </c>
      <c r="F127" s="6" t="s">
        <v>233</v>
      </c>
      <c r="G127" s="5" t="s">
        <v>236</v>
      </c>
      <c r="H127" s="7"/>
      <c r="I127" s="7"/>
    </row>
    <row r="128" spans="1:9" ht="30" x14ac:dyDescent="0.25">
      <c r="A128" s="4" t="str">
        <f>"22090"</f>
        <v>22090</v>
      </c>
      <c r="B128" s="5">
        <v>6</v>
      </c>
      <c r="C128" s="4" t="s">
        <v>6</v>
      </c>
      <c r="D128" s="6">
        <v>96</v>
      </c>
      <c r="E128" s="4" t="s">
        <v>237</v>
      </c>
      <c r="F128" s="6" t="s">
        <v>238</v>
      </c>
      <c r="G128" s="5" t="s">
        <v>239</v>
      </c>
      <c r="H128" s="7"/>
      <c r="I128" s="7"/>
    </row>
    <row r="129" spans="1:9" ht="30" x14ac:dyDescent="0.25">
      <c r="A129" s="4" t="str">
        <f>"22537"</f>
        <v>22537</v>
      </c>
      <c r="B129" s="5">
        <v>4</v>
      </c>
      <c r="C129" s="4" t="s">
        <v>6</v>
      </c>
      <c r="D129" s="6">
        <v>213</v>
      </c>
      <c r="E129" s="4" t="s">
        <v>240</v>
      </c>
      <c r="F129" s="6" t="s">
        <v>241</v>
      </c>
      <c r="G129" s="5" t="s">
        <v>242</v>
      </c>
      <c r="H129" s="7"/>
      <c r="I129" s="7"/>
    </row>
    <row r="130" spans="1:9" ht="30" x14ac:dyDescent="0.25">
      <c r="A130" s="4" t="str">
        <f>"22602"</f>
        <v>22602</v>
      </c>
      <c r="B130" s="5">
        <v>1</v>
      </c>
      <c r="C130" s="4" t="s">
        <v>6</v>
      </c>
      <c r="D130" s="6">
        <v>1</v>
      </c>
      <c r="E130" s="4" t="s">
        <v>243</v>
      </c>
      <c r="F130" s="6" t="s">
        <v>10</v>
      </c>
      <c r="G130" s="5" t="s">
        <v>244</v>
      </c>
      <c r="H130" s="7"/>
      <c r="I130" s="7"/>
    </row>
    <row r="131" spans="1:9" x14ac:dyDescent="0.25">
      <c r="A131" s="4" t="str">
        <f>"22750"</f>
        <v>22750</v>
      </c>
      <c r="B131" s="5">
        <v>8</v>
      </c>
      <c r="C131" s="4" t="s">
        <v>6</v>
      </c>
      <c r="D131" s="6">
        <v>36</v>
      </c>
      <c r="E131" s="4" t="s">
        <v>21</v>
      </c>
      <c r="F131" s="6" t="s">
        <v>245</v>
      </c>
      <c r="G131" s="5" t="s">
        <v>246</v>
      </c>
      <c r="H131" s="7"/>
      <c r="I131" s="7"/>
    </row>
    <row r="132" spans="1:9" ht="30" x14ac:dyDescent="0.25">
      <c r="A132" s="4" t="str">
        <f>"22942"</f>
        <v>22942</v>
      </c>
      <c r="B132" s="5">
        <v>4</v>
      </c>
      <c r="C132" s="4" t="s">
        <v>8</v>
      </c>
      <c r="D132" s="6">
        <v>4</v>
      </c>
      <c r="E132" s="4" t="s">
        <v>7</v>
      </c>
      <c r="F132" s="6" t="s">
        <v>248</v>
      </c>
      <c r="G132" s="5" t="s">
        <v>247</v>
      </c>
      <c r="H132" s="7"/>
      <c r="I132" s="7"/>
    </row>
    <row r="133" spans="1:9" ht="30" x14ac:dyDescent="0.25">
      <c r="A133" s="4"/>
      <c r="B133" s="5"/>
      <c r="C133" s="4"/>
      <c r="D133" s="6" t="s">
        <v>886</v>
      </c>
      <c r="E133" s="4"/>
      <c r="F133" s="6"/>
      <c r="G133" s="5" t="s">
        <v>784</v>
      </c>
      <c r="H133" s="7"/>
      <c r="I133" s="7"/>
    </row>
    <row r="134" spans="1:9" ht="30" x14ac:dyDescent="0.25">
      <c r="A134" s="4" t="str">
        <f>"23254"</f>
        <v>23254</v>
      </c>
      <c r="B134" s="5">
        <v>1</v>
      </c>
      <c r="C134" s="4" t="s">
        <v>8</v>
      </c>
      <c r="D134" s="6">
        <v>6</v>
      </c>
      <c r="E134" s="4" t="s">
        <v>67</v>
      </c>
      <c r="F134" s="6" t="s">
        <v>248</v>
      </c>
      <c r="G134" s="5" t="s">
        <v>249</v>
      </c>
      <c r="H134" s="7"/>
      <c r="I134" s="7"/>
    </row>
    <row r="135" spans="1:9" ht="30" x14ac:dyDescent="0.25">
      <c r="A135" s="4"/>
      <c r="B135" s="5"/>
      <c r="C135" s="4"/>
      <c r="D135" s="6" t="s">
        <v>886</v>
      </c>
      <c r="E135" s="4"/>
      <c r="F135" s="6"/>
      <c r="G135" s="5" t="s">
        <v>785</v>
      </c>
      <c r="H135" s="7"/>
      <c r="I135" s="7"/>
    </row>
    <row r="136" spans="1:9" x14ac:dyDescent="0.25">
      <c r="A136" s="4" t="str">
        <f>"23268"</f>
        <v>23268</v>
      </c>
      <c r="B136" s="5">
        <v>4</v>
      </c>
      <c r="C136" s="4" t="s">
        <v>6</v>
      </c>
      <c r="D136" s="6">
        <v>1</v>
      </c>
      <c r="E136" s="4" t="s">
        <v>250</v>
      </c>
      <c r="F136" s="6" t="s">
        <v>251</v>
      </c>
      <c r="G136" s="5" t="s">
        <v>252</v>
      </c>
      <c r="H136" s="7"/>
      <c r="I136" s="7"/>
    </row>
    <row r="137" spans="1:9" ht="30" x14ac:dyDescent="0.25">
      <c r="A137" s="4" t="str">
        <f>"23355"</f>
        <v>23355</v>
      </c>
      <c r="B137" s="5">
        <v>4</v>
      </c>
      <c r="C137" s="4" t="s">
        <v>8</v>
      </c>
      <c r="D137" s="6">
        <v>4</v>
      </c>
      <c r="E137" s="4" t="s">
        <v>7</v>
      </c>
      <c r="F137" s="6" t="s">
        <v>248</v>
      </c>
      <c r="G137" s="5" t="s">
        <v>253</v>
      </c>
      <c r="H137" s="7"/>
      <c r="I137" s="7"/>
    </row>
    <row r="138" spans="1:9" ht="30" x14ac:dyDescent="0.25">
      <c r="A138" s="4"/>
      <c r="B138" s="5"/>
      <c r="C138" s="4"/>
      <c r="D138" s="6" t="s">
        <v>886</v>
      </c>
      <c r="E138" s="4"/>
      <c r="F138" s="6"/>
      <c r="G138" s="5" t="s">
        <v>786</v>
      </c>
      <c r="H138" s="7"/>
      <c r="I138" s="7"/>
    </row>
    <row r="139" spans="1:9" ht="30" x14ac:dyDescent="0.25">
      <c r="A139" s="4" t="str">
        <f>"23358"</f>
        <v>23358</v>
      </c>
      <c r="B139" s="5">
        <v>4</v>
      </c>
      <c r="C139" s="4" t="s">
        <v>8</v>
      </c>
      <c r="D139" s="6">
        <v>4</v>
      </c>
      <c r="E139" s="4" t="s">
        <v>7</v>
      </c>
      <c r="F139" s="6" t="s">
        <v>248</v>
      </c>
      <c r="G139" s="5" t="s">
        <v>254</v>
      </c>
      <c r="H139" s="7"/>
      <c r="I139" s="7"/>
    </row>
    <row r="140" spans="1:9" ht="30" x14ac:dyDescent="0.25">
      <c r="A140" s="4"/>
      <c r="B140" s="5"/>
      <c r="C140" s="4"/>
      <c r="D140" s="6" t="s">
        <v>886</v>
      </c>
      <c r="E140" s="4"/>
      <c r="F140" s="6"/>
      <c r="G140" s="5" t="s">
        <v>787</v>
      </c>
      <c r="H140" s="7"/>
      <c r="I140" s="7"/>
    </row>
    <row r="141" spans="1:9" ht="30" x14ac:dyDescent="0.25">
      <c r="A141" s="4" t="str">
        <f>"23805"</f>
        <v>23805</v>
      </c>
      <c r="B141" s="5">
        <v>6</v>
      </c>
      <c r="C141" s="4" t="s">
        <v>8</v>
      </c>
      <c r="D141" s="6">
        <v>6</v>
      </c>
      <c r="E141" s="4" t="s">
        <v>79</v>
      </c>
      <c r="F141" s="6" t="s">
        <v>255</v>
      </c>
      <c r="G141" s="5" t="s">
        <v>256</v>
      </c>
      <c r="H141" s="7"/>
      <c r="I141" s="7"/>
    </row>
    <row r="142" spans="1:9" ht="30" x14ac:dyDescent="0.25">
      <c r="A142" s="4"/>
      <c r="B142" s="5"/>
      <c r="C142" s="4"/>
      <c r="D142" s="6" t="s">
        <v>886</v>
      </c>
      <c r="E142" s="4"/>
      <c r="F142" s="6"/>
      <c r="G142" s="5" t="s">
        <v>788</v>
      </c>
      <c r="H142" s="7"/>
      <c r="I142" s="7"/>
    </row>
    <row r="143" spans="1:9" x14ac:dyDescent="0.25">
      <c r="A143" s="4" t="str">
        <f>"24042"</f>
        <v>24042</v>
      </c>
      <c r="B143" s="5">
        <v>4</v>
      </c>
      <c r="C143" s="4" t="s">
        <v>8</v>
      </c>
      <c r="D143" s="6">
        <v>6</v>
      </c>
      <c r="E143" s="4" t="s">
        <v>7</v>
      </c>
      <c r="F143" s="6" t="s">
        <v>257</v>
      </c>
      <c r="G143" s="5" t="s">
        <v>258</v>
      </c>
      <c r="H143" s="7"/>
      <c r="I143" s="7"/>
    </row>
    <row r="144" spans="1:9" ht="30" x14ac:dyDescent="0.25">
      <c r="A144" s="4"/>
      <c r="B144" s="5"/>
      <c r="C144" s="4"/>
      <c r="D144" s="6" t="s">
        <v>886</v>
      </c>
      <c r="E144" s="4"/>
      <c r="F144" s="6"/>
      <c r="G144" s="5" t="s">
        <v>789</v>
      </c>
      <c r="H144" s="7"/>
      <c r="I144" s="7"/>
    </row>
    <row r="145" spans="1:9" ht="30" x14ac:dyDescent="0.25">
      <c r="A145" s="4" t="str">
        <f>"24332"</f>
        <v>24332</v>
      </c>
      <c r="B145" s="5">
        <v>8</v>
      </c>
      <c r="C145" s="4" t="s">
        <v>8</v>
      </c>
      <c r="D145" s="6">
        <v>4</v>
      </c>
      <c r="E145" s="4" t="s">
        <v>7</v>
      </c>
      <c r="F145" s="6" t="s">
        <v>259</v>
      </c>
      <c r="G145" s="5" t="s">
        <v>260</v>
      </c>
      <c r="H145" s="7"/>
      <c r="I145" s="7"/>
    </row>
    <row r="146" spans="1:9" ht="30" x14ac:dyDescent="0.25">
      <c r="A146" s="4"/>
      <c r="B146" s="5"/>
      <c r="C146" s="4"/>
      <c r="D146" s="6" t="s">
        <v>886</v>
      </c>
      <c r="E146" s="4"/>
      <c r="F146" s="6"/>
      <c r="G146" s="5" t="s">
        <v>790</v>
      </c>
      <c r="H146" s="7"/>
      <c r="I146" s="7"/>
    </row>
    <row r="147" spans="1:9" ht="30" x14ac:dyDescent="0.25">
      <c r="A147" s="4" t="str">
        <f>"24335"</f>
        <v>24335</v>
      </c>
      <c r="B147" s="5">
        <v>8</v>
      </c>
      <c r="C147" s="4" t="s">
        <v>6</v>
      </c>
      <c r="D147" s="6">
        <v>4</v>
      </c>
      <c r="E147" s="4" t="s">
        <v>7</v>
      </c>
      <c r="F147" s="6" t="s">
        <v>257</v>
      </c>
      <c r="G147" s="5" t="s">
        <v>260</v>
      </c>
      <c r="H147" s="7"/>
      <c r="I147" s="7"/>
    </row>
    <row r="148" spans="1:9" ht="30" x14ac:dyDescent="0.25">
      <c r="A148" s="4" t="str">
        <f>"24339"</f>
        <v>24339</v>
      </c>
      <c r="B148" s="5">
        <v>8</v>
      </c>
      <c r="C148" s="4" t="s">
        <v>8</v>
      </c>
      <c r="D148" s="6">
        <v>2</v>
      </c>
      <c r="E148" s="4" t="s">
        <v>7</v>
      </c>
      <c r="F148" s="6" t="s">
        <v>261</v>
      </c>
      <c r="G148" s="5" t="s">
        <v>262</v>
      </c>
      <c r="H148" s="7"/>
      <c r="I148" s="7"/>
    </row>
    <row r="149" spans="1:9" ht="30" x14ac:dyDescent="0.25">
      <c r="A149" s="4"/>
      <c r="B149" s="5"/>
      <c r="C149" s="4"/>
      <c r="D149" s="6" t="s">
        <v>886</v>
      </c>
      <c r="E149" s="4"/>
      <c r="F149" s="6"/>
      <c r="G149" s="5" t="s">
        <v>791</v>
      </c>
      <c r="H149" s="7"/>
      <c r="I149" s="7"/>
    </row>
    <row r="150" spans="1:9" ht="30" x14ac:dyDescent="0.25">
      <c r="A150" s="4" t="str">
        <f>"24574"</f>
        <v>24574</v>
      </c>
      <c r="B150" s="5">
        <v>2</v>
      </c>
      <c r="C150" s="4" t="s">
        <v>8</v>
      </c>
      <c r="D150" s="6">
        <v>6</v>
      </c>
      <c r="E150" s="4" t="s">
        <v>263</v>
      </c>
      <c r="F150" s="6" t="s">
        <v>264</v>
      </c>
      <c r="G150" s="5" t="s">
        <v>265</v>
      </c>
      <c r="H150" s="7"/>
      <c r="I150" s="7"/>
    </row>
    <row r="151" spans="1:9" ht="30" x14ac:dyDescent="0.25">
      <c r="A151" s="4"/>
      <c r="B151" s="5"/>
      <c r="C151" s="4"/>
      <c r="D151" s="6" t="s">
        <v>886</v>
      </c>
      <c r="E151" s="4"/>
      <c r="F151" s="6"/>
      <c r="G151" s="5" t="s">
        <v>792</v>
      </c>
      <c r="H151" s="7"/>
      <c r="I151" s="7"/>
    </row>
    <row r="152" spans="1:9" x14ac:dyDescent="0.25">
      <c r="A152" s="4" t="str">
        <f>"24633"</f>
        <v>24633</v>
      </c>
      <c r="B152" s="5">
        <v>2</v>
      </c>
      <c r="C152" s="4" t="s">
        <v>6</v>
      </c>
      <c r="D152" s="6">
        <v>12</v>
      </c>
      <c r="E152" s="4" t="s">
        <v>266</v>
      </c>
      <c r="F152" s="6" t="s">
        <v>267</v>
      </c>
      <c r="G152" s="5" t="s">
        <v>268</v>
      </c>
      <c r="H152" s="7"/>
      <c r="I152" s="7"/>
    </row>
    <row r="153" spans="1:9" x14ac:dyDescent="0.25">
      <c r="A153" s="4" t="str">
        <f>"24647"</f>
        <v>24647</v>
      </c>
      <c r="B153" s="5">
        <v>6</v>
      </c>
      <c r="C153" s="4" t="s">
        <v>6</v>
      </c>
      <c r="D153" s="6">
        <v>12</v>
      </c>
      <c r="E153" s="4" t="s">
        <v>200</v>
      </c>
      <c r="F153" s="6" t="s">
        <v>10</v>
      </c>
      <c r="G153" s="5" t="s">
        <v>269</v>
      </c>
      <c r="H153" s="7"/>
      <c r="I153" s="7"/>
    </row>
    <row r="154" spans="1:9" x14ac:dyDescent="0.25">
      <c r="A154" s="4" t="str">
        <f>"24655"</f>
        <v>24655</v>
      </c>
      <c r="B154" s="5">
        <v>12</v>
      </c>
      <c r="C154" s="4" t="s">
        <v>6</v>
      </c>
      <c r="D154" s="6">
        <v>12</v>
      </c>
      <c r="E154" s="4" t="s">
        <v>200</v>
      </c>
      <c r="F154" s="6" t="s">
        <v>270</v>
      </c>
      <c r="G154" s="5" t="s">
        <v>271</v>
      </c>
      <c r="H154" s="7"/>
      <c r="I154" s="7"/>
    </row>
    <row r="155" spans="1:9" ht="30" x14ac:dyDescent="0.25">
      <c r="A155" s="4" t="str">
        <f>"24659"</f>
        <v>24659</v>
      </c>
      <c r="B155" s="5">
        <v>8</v>
      </c>
      <c r="C155" s="4" t="s">
        <v>6</v>
      </c>
      <c r="D155" s="6">
        <v>360</v>
      </c>
      <c r="E155" s="4" t="s">
        <v>272</v>
      </c>
      <c r="F155" s="6" t="s">
        <v>270</v>
      </c>
      <c r="G155" s="5" t="s">
        <v>273</v>
      </c>
      <c r="H155" s="7"/>
      <c r="I155" s="7"/>
    </row>
    <row r="156" spans="1:9" x14ac:dyDescent="0.25">
      <c r="A156" s="4" t="str">
        <f>"24660"</f>
        <v>24660</v>
      </c>
      <c r="B156" s="5">
        <v>8</v>
      </c>
      <c r="C156" s="4" t="s">
        <v>6</v>
      </c>
      <c r="D156" s="6">
        <v>1</v>
      </c>
      <c r="E156" s="4" t="s">
        <v>274</v>
      </c>
      <c r="F156" s="6" t="s">
        <v>270</v>
      </c>
      <c r="G156" s="5" t="s">
        <v>275</v>
      </c>
      <c r="H156" s="7"/>
      <c r="I156" s="7"/>
    </row>
    <row r="157" spans="1:9" x14ac:dyDescent="0.25">
      <c r="A157" s="4" t="str">
        <f>"24666"</f>
        <v>24666</v>
      </c>
      <c r="B157" s="5">
        <v>2</v>
      </c>
      <c r="C157" s="4" t="s">
        <v>6</v>
      </c>
      <c r="D157" s="6">
        <v>12</v>
      </c>
      <c r="E157" s="4" t="s">
        <v>200</v>
      </c>
      <c r="F157" s="6" t="s">
        <v>276</v>
      </c>
      <c r="G157" s="5" t="s">
        <v>277</v>
      </c>
      <c r="H157" s="7"/>
      <c r="I157" s="7"/>
    </row>
    <row r="158" spans="1:9" x14ac:dyDescent="0.25">
      <c r="A158" s="4" t="str">
        <f>"24685"</f>
        <v>24685</v>
      </c>
      <c r="B158" s="5">
        <v>20</v>
      </c>
      <c r="C158" s="4" t="s">
        <v>6</v>
      </c>
      <c r="D158" s="6">
        <v>6</v>
      </c>
      <c r="E158" s="4" t="s">
        <v>278</v>
      </c>
      <c r="F158" s="6" t="s">
        <v>270</v>
      </c>
      <c r="G158" s="5" t="s">
        <v>279</v>
      </c>
      <c r="H158" s="7"/>
      <c r="I158" s="7"/>
    </row>
    <row r="159" spans="1:9" ht="30" x14ac:dyDescent="0.25">
      <c r="A159" s="4" t="str">
        <f>"24721"</f>
        <v>24721</v>
      </c>
      <c r="B159" s="5">
        <v>6</v>
      </c>
      <c r="C159" s="4" t="s">
        <v>6</v>
      </c>
      <c r="D159" s="6">
        <v>288</v>
      </c>
      <c r="E159" s="4" t="s">
        <v>25</v>
      </c>
      <c r="F159" s="6" t="s">
        <v>280</v>
      </c>
      <c r="G159" s="5" t="s">
        <v>281</v>
      </c>
      <c r="H159" s="7"/>
      <c r="I159" s="7"/>
    </row>
    <row r="160" spans="1:9" ht="30" x14ac:dyDescent="0.25">
      <c r="A160" s="4" t="str">
        <f>"24840"</f>
        <v>24840</v>
      </c>
      <c r="B160" s="5">
        <v>12</v>
      </c>
      <c r="C160" s="4" t="s">
        <v>6</v>
      </c>
      <c r="D160" s="6">
        <v>180</v>
      </c>
      <c r="E160" s="4" t="s">
        <v>272</v>
      </c>
      <c r="F160" s="6" t="s">
        <v>282</v>
      </c>
      <c r="G160" s="5" t="s">
        <v>283</v>
      </c>
      <c r="H160" s="7"/>
      <c r="I160" s="7"/>
    </row>
    <row r="161" spans="1:9" x14ac:dyDescent="0.25">
      <c r="A161" s="4" t="str">
        <f>"24865"</f>
        <v>24865</v>
      </c>
      <c r="B161" s="5">
        <v>15</v>
      </c>
      <c r="C161" s="4" t="s">
        <v>6</v>
      </c>
      <c r="D161" s="6">
        <v>15</v>
      </c>
      <c r="E161" s="4" t="s">
        <v>284</v>
      </c>
      <c r="F161" s="6" t="s">
        <v>285</v>
      </c>
      <c r="G161" s="5" t="s">
        <v>286</v>
      </c>
      <c r="H161" s="7"/>
      <c r="I161" s="7"/>
    </row>
    <row r="162" spans="1:9" ht="30" x14ac:dyDescent="0.25">
      <c r="A162" s="4" t="str">
        <f>"25263"</f>
        <v>25263</v>
      </c>
      <c r="B162" s="5">
        <v>1</v>
      </c>
      <c r="C162" s="4" t="s">
        <v>8</v>
      </c>
      <c r="D162" s="6">
        <v>6</v>
      </c>
      <c r="E162" s="4" t="s">
        <v>287</v>
      </c>
      <c r="F162" s="6" t="s">
        <v>288</v>
      </c>
      <c r="G162" s="5" t="s">
        <v>289</v>
      </c>
      <c r="H162" s="7"/>
      <c r="I162" s="7"/>
    </row>
    <row r="163" spans="1:9" ht="30" x14ac:dyDescent="0.25">
      <c r="A163" s="4"/>
      <c r="B163" s="5"/>
      <c r="C163" s="4"/>
      <c r="D163" s="6" t="s">
        <v>886</v>
      </c>
      <c r="E163" s="4"/>
      <c r="F163" s="6"/>
      <c r="G163" s="5" t="s">
        <v>793</v>
      </c>
      <c r="H163" s="7"/>
      <c r="I163" s="7"/>
    </row>
    <row r="164" spans="1:9" x14ac:dyDescent="0.25">
      <c r="A164" s="4" t="str">
        <f>"25574"</f>
        <v>25574</v>
      </c>
      <c r="B164" s="5">
        <v>10</v>
      </c>
      <c r="C164" s="4" t="s">
        <v>8</v>
      </c>
      <c r="D164" s="6">
        <v>6</v>
      </c>
      <c r="E164" s="4" t="s">
        <v>7</v>
      </c>
      <c r="F164" s="6" t="s">
        <v>245</v>
      </c>
      <c r="G164" s="5" t="s">
        <v>290</v>
      </c>
      <c r="H164" s="7"/>
      <c r="I164" s="7"/>
    </row>
    <row r="165" spans="1:9" ht="30" x14ac:dyDescent="0.25">
      <c r="A165" s="4"/>
      <c r="B165" s="5"/>
      <c r="C165" s="4"/>
      <c r="D165" s="6" t="s">
        <v>886</v>
      </c>
      <c r="E165" s="4"/>
      <c r="F165" s="6"/>
      <c r="G165" s="5" t="s">
        <v>794</v>
      </c>
      <c r="H165" s="7"/>
      <c r="I165" s="7"/>
    </row>
    <row r="166" spans="1:9" x14ac:dyDescent="0.25">
      <c r="A166" s="4" t="str">
        <f>"26211"</f>
        <v>26211</v>
      </c>
      <c r="B166" s="5">
        <v>3</v>
      </c>
      <c r="C166" s="4" t="s">
        <v>6</v>
      </c>
      <c r="D166" s="6">
        <v>1</v>
      </c>
      <c r="E166" s="4" t="s">
        <v>138</v>
      </c>
      <c r="F166" s="6" t="s">
        <v>270</v>
      </c>
      <c r="G166" s="5" t="s">
        <v>291</v>
      </c>
      <c r="H166" s="7"/>
      <c r="I166" s="7"/>
    </row>
    <row r="167" spans="1:9" x14ac:dyDescent="0.25">
      <c r="A167" s="4" t="str">
        <f>"26224"</f>
        <v>26224</v>
      </c>
      <c r="B167" s="5">
        <v>3</v>
      </c>
      <c r="C167" s="4" t="s">
        <v>6</v>
      </c>
      <c r="D167" s="6">
        <v>1</v>
      </c>
      <c r="E167" s="4" t="s">
        <v>138</v>
      </c>
      <c r="F167" s="6" t="s">
        <v>270</v>
      </c>
      <c r="G167" s="5" t="s">
        <v>292</v>
      </c>
      <c r="H167" s="7"/>
      <c r="I167" s="7"/>
    </row>
    <row r="168" spans="1:9" x14ac:dyDescent="0.25">
      <c r="A168" s="4" t="str">
        <f>"26232"</f>
        <v>26232</v>
      </c>
      <c r="B168" s="5">
        <v>3</v>
      </c>
      <c r="C168" s="4" t="s">
        <v>6</v>
      </c>
      <c r="D168" s="6">
        <v>1</v>
      </c>
      <c r="E168" s="4" t="s">
        <v>138</v>
      </c>
      <c r="F168" s="6" t="s">
        <v>270</v>
      </c>
      <c r="G168" s="5" t="s">
        <v>293</v>
      </c>
      <c r="H168" s="7"/>
      <c r="I168" s="7"/>
    </row>
    <row r="169" spans="1:9" ht="30" x14ac:dyDescent="0.25">
      <c r="A169" s="4" t="str">
        <f>"31815"</f>
        <v>31815</v>
      </c>
      <c r="B169" s="5">
        <v>4</v>
      </c>
      <c r="C169" s="4" t="s">
        <v>8</v>
      </c>
      <c r="D169" s="6">
        <v>4</v>
      </c>
      <c r="E169" s="4" t="s">
        <v>198</v>
      </c>
      <c r="F169" s="6" t="s">
        <v>294</v>
      </c>
      <c r="G169" s="5" t="s">
        <v>295</v>
      </c>
      <c r="H169" s="7"/>
      <c r="I169" s="7"/>
    </row>
    <row r="170" spans="1:9" ht="30" x14ac:dyDescent="0.25">
      <c r="A170" s="4"/>
      <c r="B170" s="5"/>
      <c r="C170" s="4"/>
      <c r="D170" s="6" t="s">
        <v>886</v>
      </c>
      <c r="E170" s="4"/>
      <c r="F170" s="6"/>
      <c r="G170" s="5" t="s">
        <v>795</v>
      </c>
      <c r="H170" s="7"/>
      <c r="I170" s="7"/>
    </row>
    <row r="171" spans="1:9" ht="30" x14ac:dyDescent="0.25">
      <c r="A171" s="4" t="str">
        <f>"32280"</f>
        <v>32280</v>
      </c>
      <c r="B171" s="5">
        <v>1</v>
      </c>
      <c r="C171" s="4" t="s">
        <v>8</v>
      </c>
      <c r="D171" s="6">
        <v>6</v>
      </c>
      <c r="E171" s="4">
        <v>10</v>
      </c>
      <c r="F171" s="6" t="s">
        <v>139</v>
      </c>
      <c r="G171" s="5" t="s">
        <v>296</v>
      </c>
      <c r="H171" s="7"/>
      <c r="I171" s="7"/>
    </row>
    <row r="172" spans="1:9" ht="30" x14ac:dyDescent="0.25">
      <c r="A172" s="4"/>
      <c r="B172" s="5"/>
      <c r="C172" s="4"/>
      <c r="D172" s="6" t="s">
        <v>886</v>
      </c>
      <c r="E172" s="4"/>
      <c r="F172" s="6"/>
      <c r="G172" s="5" t="s">
        <v>796</v>
      </c>
      <c r="H172" s="7"/>
      <c r="I172" s="7"/>
    </row>
    <row r="173" spans="1:9" ht="30" x14ac:dyDescent="0.25">
      <c r="A173" s="4" t="str">
        <f>"32570"</f>
        <v>32570</v>
      </c>
      <c r="B173" s="5">
        <v>2</v>
      </c>
      <c r="C173" s="4" t="s">
        <v>8</v>
      </c>
      <c r="D173" s="6">
        <v>4</v>
      </c>
      <c r="E173" s="4" t="s">
        <v>198</v>
      </c>
      <c r="F173" s="6" t="s">
        <v>297</v>
      </c>
      <c r="G173" s="5" t="s">
        <v>298</v>
      </c>
      <c r="H173" s="7"/>
      <c r="I173" s="7"/>
    </row>
    <row r="174" spans="1:9" ht="30" x14ac:dyDescent="0.25">
      <c r="A174" s="4"/>
      <c r="B174" s="5"/>
      <c r="C174" s="4"/>
      <c r="D174" s="6" t="s">
        <v>886</v>
      </c>
      <c r="E174" s="4"/>
      <c r="F174" s="6"/>
      <c r="G174" s="5" t="s">
        <v>797</v>
      </c>
      <c r="H174" s="7"/>
      <c r="I174" s="7"/>
    </row>
    <row r="175" spans="1:9" ht="30" x14ac:dyDescent="0.25">
      <c r="A175" s="4" t="str">
        <f>"32982"</f>
        <v>32982</v>
      </c>
      <c r="B175" s="5">
        <v>2</v>
      </c>
      <c r="C175" s="4" t="s">
        <v>8</v>
      </c>
      <c r="D175" s="6">
        <v>4</v>
      </c>
      <c r="E175" s="4" t="s">
        <v>198</v>
      </c>
      <c r="F175" s="6" t="s">
        <v>299</v>
      </c>
      <c r="G175" s="5" t="s">
        <v>300</v>
      </c>
      <c r="H175" s="7"/>
      <c r="I175" s="7"/>
    </row>
    <row r="176" spans="1:9" ht="30" x14ac:dyDescent="0.25">
      <c r="A176" s="4"/>
      <c r="B176" s="5"/>
      <c r="C176" s="4"/>
      <c r="D176" s="6" t="s">
        <v>886</v>
      </c>
      <c r="E176" s="4"/>
      <c r="F176" s="6"/>
      <c r="G176" s="5" t="s">
        <v>798</v>
      </c>
      <c r="H176" s="7"/>
      <c r="I176" s="7"/>
    </row>
    <row r="177" spans="1:9" ht="30" x14ac:dyDescent="0.25">
      <c r="A177" s="4" t="str">
        <f>"33072"</f>
        <v>33072</v>
      </c>
      <c r="B177" s="5">
        <v>12</v>
      </c>
      <c r="C177" s="4" t="s">
        <v>8</v>
      </c>
      <c r="D177" s="6">
        <v>3</v>
      </c>
      <c r="E177" s="4" t="s">
        <v>301</v>
      </c>
      <c r="F177" s="6" t="s">
        <v>302</v>
      </c>
      <c r="G177" s="5" t="s">
        <v>303</v>
      </c>
      <c r="H177" s="7"/>
      <c r="I177" s="7"/>
    </row>
    <row r="178" spans="1:9" ht="30" x14ac:dyDescent="0.25">
      <c r="A178" s="4"/>
      <c r="B178" s="5"/>
      <c r="C178" s="4"/>
      <c r="D178" s="6" t="s">
        <v>886</v>
      </c>
      <c r="E178" s="4"/>
      <c r="F178" s="6"/>
      <c r="G178" s="5" t="s">
        <v>799</v>
      </c>
      <c r="H178" s="7"/>
      <c r="I178" s="7"/>
    </row>
    <row r="179" spans="1:9" x14ac:dyDescent="0.25">
      <c r="A179" s="4" t="str">
        <f>"33109"</f>
        <v>33109</v>
      </c>
      <c r="B179" s="5">
        <v>1</v>
      </c>
      <c r="C179" s="4" t="s">
        <v>8</v>
      </c>
      <c r="D179" s="6">
        <v>12</v>
      </c>
      <c r="E179" s="4" t="s">
        <v>304</v>
      </c>
      <c r="F179" s="6" t="s">
        <v>305</v>
      </c>
      <c r="G179" s="5" t="s">
        <v>306</v>
      </c>
      <c r="H179" s="7"/>
      <c r="I179" s="7"/>
    </row>
    <row r="180" spans="1:9" ht="30" x14ac:dyDescent="0.25">
      <c r="A180" s="4"/>
      <c r="B180" s="5"/>
      <c r="C180" s="4"/>
      <c r="D180" s="6" t="s">
        <v>886</v>
      </c>
      <c r="E180" s="4"/>
      <c r="F180" s="6"/>
      <c r="G180" s="5" t="s">
        <v>800</v>
      </c>
      <c r="H180" s="7"/>
      <c r="I180" s="7"/>
    </row>
    <row r="181" spans="1:9" ht="30" x14ac:dyDescent="0.25">
      <c r="A181" s="4" t="str">
        <f>"33220"</f>
        <v>33220</v>
      </c>
      <c r="B181" s="5">
        <v>2</v>
      </c>
      <c r="C181" s="4" t="s">
        <v>8</v>
      </c>
      <c r="D181" s="6">
        <v>6</v>
      </c>
      <c r="E181" s="4" t="s">
        <v>278</v>
      </c>
      <c r="F181" s="6" t="s">
        <v>307</v>
      </c>
      <c r="G181" s="5" t="s">
        <v>308</v>
      </c>
      <c r="H181" s="7"/>
      <c r="I181" s="7"/>
    </row>
    <row r="182" spans="1:9" ht="30" x14ac:dyDescent="0.25">
      <c r="A182" s="4"/>
      <c r="B182" s="5"/>
      <c r="C182" s="4"/>
      <c r="D182" s="6" t="s">
        <v>886</v>
      </c>
      <c r="E182" s="4"/>
      <c r="F182" s="6"/>
      <c r="G182" s="5" t="s">
        <v>801</v>
      </c>
      <c r="H182" s="7"/>
      <c r="I182" s="7"/>
    </row>
    <row r="183" spans="1:9" x14ac:dyDescent="0.25">
      <c r="A183" s="4" t="str">
        <f>"33285"</f>
        <v>33285</v>
      </c>
      <c r="B183" s="5">
        <v>1</v>
      </c>
      <c r="C183" s="4" t="s">
        <v>6</v>
      </c>
      <c r="D183" s="6">
        <v>24</v>
      </c>
      <c r="E183" s="4" t="s">
        <v>184</v>
      </c>
      <c r="F183" s="6" t="s">
        <v>309</v>
      </c>
      <c r="G183" s="5" t="s">
        <v>310</v>
      </c>
      <c r="H183" s="7"/>
      <c r="I183" s="7"/>
    </row>
    <row r="184" spans="1:9" x14ac:dyDescent="0.25">
      <c r="A184" s="4" t="str">
        <f>"33635"</f>
        <v>33635</v>
      </c>
      <c r="B184" s="5">
        <v>4</v>
      </c>
      <c r="C184" s="4" t="s">
        <v>8</v>
      </c>
      <c r="D184" s="6">
        <v>4</v>
      </c>
      <c r="E184" s="4" t="s">
        <v>198</v>
      </c>
      <c r="F184" s="6" t="s">
        <v>139</v>
      </c>
      <c r="G184" s="5" t="s">
        <v>311</v>
      </c>
      <c r="H184" s="7"/>
      <c r="I184" s="7"/>
    </row>
    <row r="185" spans="1:9" ht="30" x14ac:dyDescent="0.25">
      <c r="A185" s="4"/>
      <c r="B185" s="5"/>
      <c r="C185" s="4"/>
      <c r="D185" s="6" t="s">
        <v>886</v>
      </c>
      <c r="E185" s="4"/>
      <c r="F185" s="6"/>
      <c r="G185" s="5" t="s">
        <v>802</v>
      </c>
      <c r="H185" s="7"/>
      <c r="I185" s="7"/>
    </row>
    <row r="186" spans="1:9" ht="30" x14ac:dyDescent="0.25">
      <c r="A186" s="4" t="str">
        <f>"35262"</f>
        <v>35262</v>
      </c>
      <c r="B186" s="5">
        <v>6</v>
      </c>
      <c r="C186" s="4" t="s">
        <v>6</v>
      </c>
      <c r="D186" s="6">
        <v>4</v>
      </c>
      <c r="E186" s="4" t="s">
        <v>79</v>
      </c>
      <c r="F186" s="6" t="s">
        <v>312</v>
      </c>
      <c r="G186" s="5" t="s">
        <v>313</v>
      </c>
      <c r="H186" s="7"/>
      <c r="I186" s="7"/>
    </row>
    <row r="187" spans="1:9" ht="30" x14ac:dyDescent="0.25">
      <c r="A187" s="4" t="str">
        <f>"38886"</f>
        <v>38886</v>
      </c>
      <c r="B187" s="5">
        <v>2</v>
      </c>
      <c r="C187" s="4" t="s">
        <v>8</v>
      </c>
      <c r="D187" s="6">
        <v>12</v>
      </c>
      <c r="E187" s="4" t="s">
        <v>25</v>
      </c>
      <c r="F187" s="6" t="s">
        <v>314</v>
      </c>
      <c r="G187" s="5" t="s">
        <v>315</v>
      </c>
      <c r="H187" s="7"/>
      <c r="I187" s="7"/>
    </row>
    <row r="188" spans="1:9" ht="30" x14ac:dyDescent="0.25">
      <c r="A188" s="4"/>
      <c r="B188" s="5"/>
      <c r="C188" s="4"/>
      <c r="D188" s="6" t="s">
        <v>886</v>
      </c>
      <c r="E188" s="4"/>
      <c r="F188" s="6"/>
      <c r="G188" s="5" t="s">
        <v>803</v>
      </c>
      <c r="H188" s="7"/>
      <c r="I188" s="7"/>
    </row>
    <row r="189" spans="1:9" ht="30" x14ac:dyDescent="0.25">
      <c r="A189" s="4" t="str">
        <f>"38905"</f>
        <v>38905</v>
      </c>
      <c r="B189" s="5">
        <v>30</v>
      </c>
      <c r="C189" s="4" t="s">
        <v>6</v>
      </c>
      <c r="D189" s="6">
        <v>1</v>
      </c>
      <c r="E189" s="4" t="s">
        <v>316</v>
      </c>
      <c r="F189" s="6" t="s">
        <v>314</v>
      </c>
      <c r="G189" s="5" t="s">
        <v>317</v>
      </c>
      <c r="H189" s="7"/>
      <c r="I189" s="7"/>
    </row>
    <row r="190" spans="1:9" ht="30" x14ac:dyDescent="0.25">
      <c r="A190" s="4" t="str">
        <f>"38906"</f>
        <v>38906</v>
      </c>
      <c r="B190" s="5">
        <v>30</v>
      </c>
      <c r="C190" s="4" t="s">
        <v>6</v>
      </c>
      <c r="D190" s="6">
        <v>1</v>
      </c>
      <c r="E190" s="4" t="s">
        <v>316</v>
      </c>
      <c r="F190" s="6" t="s">
        <v>318</v>
      </c>
      <c r="G190" s="5" t="s">
        <v>319</v>
      </c>
      <c r="H190" s="7"/>
      <c r="I190" s="7"/>
    </row>
    <row r="191" spans="1:9" ht="30" x14ac:dyDescent="0.25">
      <c r="A191" s="4" t="str">
        <f>"40654"</f>
        <v>40654</v>
      </c>
      <c r="B191" s="5">
        <v>4</v>
      </c>
      <c r="C191" s="4" t="s">
        <v>6</v>
      </c>
      <c r="D191" s="6">
        <v>1</v>
      </c>
      <c r="E191" s="4" t="s">
        <v>89</v>
      </c>
      <c r="F191" s="6" t="s">
        <v>320</v>
      </c>
      <c r="G191" s="5" t="s">
        <v>321</v>
      </c>
      <c r="H191" s="7"/>
      <c r="I191" s="7"/>
    </row>
    <row r="192" spans="1:9" x14ac:dyDescent="0.25">
      <c r="A192" s="4" t="str">
        <f>"41171"</f>
        <v>41171</v>
      </c>
      <c r="B192" s="5">
        <v>6</v>
      </c>
      <c r="C192" s="4" t="s">
        <v>6</v>
      </c>
      <c r="D192" s="6">
        <v>1</v>
      </c>
      <c r="E192" s="4" t="s">
        <v>89</v>
      </c>
      <c r="F192" s="6" t="s">
        <v>322</v>
      </c>
      <c r="G192" s="5" t="s">
        <v>323</v>
      </c>
      <c r="H192" s="7"/>
      <c r="I192" s="7"/>
    </row>
    <row r="193" spans="1:9" x14ac:dyDescent="0.25">
      <c r="A193" s="4" t="str">
        <f>"41838"</f>
        <v>41838</v>
      </c>
      <c r="B193" s="5">
        <v>6</v>
      </c>
      <c r="C193" s="4" t="s">
        <v>8</v>
      </c>
      <c r="D193" s="6">
        <v>6</v>
      </c>
      <c r="E193" s="4" t="s">
        <v>324</v>
      </c>
      <c r="F193" s="6" t="s">
        <v>325</v>
      </c>
      <c r="G193" s="5" t="s">
        <v>326</v>
      </c>
      <c r="H193" s="7"/>
      <c r="I193" s="7"/>
    </row>
    <row r="194" spans="1:9" ht="30" x14ac:dyDescent="0.25">
      <c r="A194" s="4"/>
      <c r="B194" s="5"/>
      <c r="C194" s="4"/>
      <c r="D194" s="6" t="s">
        <v>886</v>
      </c>
      <c r="E194" s="4"/>
      <c r="F194" s="6"/>
      <c r="G194" s="5" t="s">
        <v>804</v>
      </c>
      <c r="H194" s="7"/>
      <c r="I194" s="7"/>
    </row>
    <row r="195" spans="1:9" ht="30" x14ac:dyDescent="0.25">
      <c r="A195" s="4" t="str">
        <f>"45485"</f>
        <v>45485</v>
      </c>
      <c r="B195" s="5">
        <v>2</v>
      </c>
      <c r="C195" s="4" t="s">
        <v>6</v>
      </c>
      <c r="D195" s="6">
        <v>2</v>
      </c>
      <c r="E195" s="4" t="s">
        <v>327</v>
      </c>
      <c r="F195" s="6" t="s">
        <v>328</v>
      </c>
      <c r="G195" s="5" t="s">
        <v>329</v>
      </c>
      <c r="H195" s="7"/>
      <c r="I195" s="7"/>
    </row>
    <row r="196" spans="1:9" ht="30" x14ac:dyDescent="0.25">
      <c r="A196" s="4" t="str">
        <f>"52193"</f>
        <v>52193</v>
      </c>
      <c r="B196" s="5">
        <v>2</v>
      </c>
      <c r="C196" s="4" t="s">
        <v>6</v>
      </c>
      <c r="D196" s="6">
        <v>12</v>
      </c>
      <c r="E196" s="4" t="s">
        <v>200</v>
      </c>
      <c r="F196" s="6" t="s">
        <v>330</v>
      </c>
      <c r="G196" s="5" t="s">
        <v>331</v>
      </c>
      <c r="H196" s="7"/>
      <c r="I196" s="7"/>
    </row>
    <row r="197" spans="1:9" ht="30" x14ac:dyDescent="0.25">
      <c r="A197" s="4" t="str">
        <f>"53356"</f>
        <v>53356</v>
      </c>
      <c r="B197" s="5">
        <v>6</v>
      </c>
      <c r="C197" s="4" t="s">
        <v>6</v>
      </c>
      <c r="D197" s="6">
        <v>1</v>
      </c>
      <c r="E197" s="4" t="s">
        <v>33</v>
      </c>
      <c r="F197" s="6" t="s">
        <v>163</v>
      </c>
      <c r="G197" s="5" t="s">
        <v>332</v>
      </c>
      <c r="H197" s="7"/>
      <c r="I197" s="7"/>
    </row>
    <row r="198" spans="1:9" ht="30" x14ac:dyDescent="0.25">
      <c r="A198" s="4" t="str">
        <f>"54558"</f>
        <v>54558</v>
      </c>
      <c r="B198" s="5">
        <v>6</v>
      </c>
      <c r="C198" s="4" t="s">
        <v>6</v>
      </c>
      <c r="D198" s="6">
        <v>2</v>
      </c>
      <c r="E198" s="4" t="s">
        <v>7</v>
      </c>
      <c r="F198" s="6" t="s">
        <v>333</v>
      </c>
      <c r="G198" s="5" t="s">
        <v>334</v>
      </c>
      <c r="H198" s="7"/>
      <c r="I198" s="7"/>
    </row>
    <row r="199" spans="1:9" ht="30" x14ac:dyDescent="0.25">
      <c r="A199" s="4" t="str">
        <f>"54589"</f>
        <v>54589</v>
      </c>
      <c r="B199" s="5">
        <v>6</v>
      </c>
      <c r="C199" s="4" t="s">
        <v>6</v>
      </c>
      <c r="D199" s="6">
        <v>2</v>
      </c>
      <c r="E199" s="4" t="s">
        <v>7</v>
      </c>
      <c r="F199" s="6" t="s">
        <v>335</v>
      </c>
      <c r="G199" s="5" t="s">
        <v>336</v>
      </c>
      <c r="H199" s="7"/>
      <c r="I199" s="7"/>
    </row>
    <row r="200" spans="1:9" ht="30" x14ac:dyDescent="0.25">
      <c r="A200" s="4" t="str">
        <f>"54846"</f>
        <v>54846</v>
      </c>
      <c r="B200" s="5">
        <v>6</v>
      </c>
      <c r="C200" s="4" t="s">
        <v>6</v>
      </c>
      <c r="D200" s="6">
        <v>32</v>
      </c>
      <c r="E200" s="4" t="s">
        <v>337</v>
      </c>
      <c r="F200" s="6" t="s">
        <v>338</v>
      </c>
      <c r="G200" s="5" t="s">
        <v>339</v>
      </c>
      <c r="H200" s="7"/>
      <c r="I200" s="7"/>
    </row>
    <row r="201" spans="1:9" ht="30" x14ac:dyDescent="0.25">
      <c r="A201" s="4" t="str">
        <f>"54890"</f>
        <v>54890</v>
      </c>
      <c r="B201" s="5">
        <v>2</v>
      </c>
      <c r="C201" s="4" t="s">
        <v>6</v>
      </c>
      <c r="D201" s="6">
        <v>1</v>
      </c>
      <c r="E201" s="4" t="s">
        <v>89</v>
      </c>
      <c r="F201" s="6" t="s">
        <v>340</v>
      </c>
      <c r="G201" s="5" t="s">
        <v>341</v>
      </c>
      <c r="H201" s="7"/>
      <c r="I201" s="7"/>
    </row>
    <row r="202" spans="1:9" x14ac:dyDescent="0.25">
      <c r="A202" s="4" t="str">
        <f>"55642"</f>
        <v>55642</v>
      </c>
      <c r="B202" s="5">
        <v>10</v>
      </c>
      <c r="C202" s="4" t="s">
        <v>6</v>
      </c>
      <c r="D202" s="6">
        <v>30</v>
      </c>
      <c r="E202" s="4" t="s">
        <v>342</v>
      </c>
      <c r="F202" s="6" t="s">
        <v>343</v>
      </c>
      <c r="G202" s="5" t="s">
        <v>344</v>
      </c>
      <c r="H202" s="7"/>
      <c r="I202" s="7"/>
    </row>
    <row r="203" spans="1:9" ht="30" x14ac:dyDescent="0.25">
      <c r="A203" s="4" t="str">
        <f>"55856"</f>
        <v>55856</v>
      </c>
      <c r="B203" s="5">
        <v>5</v>
      </c>
      <c r="C203" s="4" t="s">
        <v>6</v>
      </c>
      <c r="D203" s="6">
        <v>40</v>
      </c>
      <c r="E203" s="4" t="s">
        <v>120</v>
      </c>
      <c r="F203" s="6" t="s">
        <v>340</v>
      </c>
      <c r="G203" s="5" t="s">
        <v>345</v>
      </c>
      <c r="H203" s="7"/>
      <c r="I203" s="7"/>
    </row>
    <row r="204" spans="1:9" x14ac:dyDescent="0.25">
      <c r="A204" s="4" t="str">
        <f>"55952"</f>
        <v>55952</v>
      </c>
      <c r="B204" s="5">
        <v>4</v>
      </c>
      <c r="C204" s="4" t="s">
        <v>6</v>
      </c>
      <c r="D204" s="6">
        <v>8</v>
      </c>
      <c r="E204" s="4" t="s">
        <v>250</v>
      </c>
      <c r="F204" s="6" t="s">
        <v>10</v>
      </c>
      <c r="G204" s="5" t="s">
        <v>346</v>
      </c>
      <c r="H204" s="7"/>
      <c r="I204" s="7"/>
    </row>
    <row r="205" spans="1:9" x14ac:dyDescent="0.25">
      <c r="A205" s="4" t="str">
        <f>"56634"</f>
        <v>56634</v>
      </c>
      <c r="B205" s="5">
        <v>4</v>
      </c>
      <c r="C205" s="4" t="s">
        <v>6</v>
      </c>
      <c r="D205" s="6">
        <v>1</v>
      </c>
      <c r="E205" s="4" t="s">
        <v>89</v>
      </c>
      <c r="F205" s="6" t="s">
        <v>347</v>
      </c>
      <c r="G205" s="5" t="s">
        <v>348</v>
      </c>
      <c r="H205" s="7"/>
      <c r="I205" s="7"/>
    </row>
    <row r="206" spans="1:9" ht="30" x14ac:dyDescent="0.25">
      <c r="A206" s="4" t="str">
        <f>"56671"</f>
        <v>56671</v>
      </c>
      <c r="B206" s="5">
        <v>4</v>
      </c>
      <c r="C206" s="4" t="s">
        <v>6</v>
      </c>
      <c r="D206" s="6">
        <v>3</v>
      </c>
      <c r="E206" s="4" t="s">
        <v>7</v>
      </c>
      <c r="F206" s="6" t="s">
        <v>349</v>
      </c>
      <c r="G206" s="5" t="s">
        <v>350</v>
      </c>
      <c r="H206" s="7"/>
      <c r="I206" s="7"/>
    </row>
    <row r="207" spans="1:9" x14ac:dyDescent="0.25">
      <c r="A207" s="4" t="str">
        <f>"57755"</f>
        <v>57755</v>
      </c>
      <c r="B207" s="5">
        <v>6</v>
      </c>
      <c r="C207" s="4" t="s">
        <v>6</v>
      </c>
      <c r="D207" s="6">
        <v>12</v>
      </c>
      <c r="E207" s="4" t="s">
        <v>351</v>
      </c>
      <c r="F207" s="6">
        <v>1909</v>
      </c>
      <c r="G207" s="5" t="s">
        <v>352</v>
      </c>
      <c r="H207" s="7"/>
      <c r="I207" s="7"/>
    </row>
    <row r="208" spans="1:9" x14ac:dyDescent="0.25">
      <c r="A208" s="4" t="str">
        <f>"58806"</f>
        <v>58806</v>
      </c>
      <c r="B208" s="5">
        <v>6</v>
      </c>
      <c r="C208" s="4" t="s">
        <v>6</v>
      </c>
      <c r="D208" s="6">
        <v>1</v>
      </c>
      <c r="E208" s="4" t="s">
        <v>40</v>
      </c>
      <c r="F208" s="6" t="s">
        <v>10</v>
      </c>
      <c r="G208" s="5" t="s">
        <v>353</v>
      </c>
      <c r="H208" s="7"/>
      <c r="I208" s="7"/>
    </row>
    <row r="209" spans="1:9" x14ac:dyDescent="0.25">
      <c r="A209" s="4" t="str">
        <f>"58828"</f>
        <v>58828</v>
      </c>
      <c r="B209" s="5">
        <v>5</v>
      </c>
      <c r="C209" s="4" t="s">
        <v>6</v>
      </c>
      <c r="D209" s="6">
        <v>40</v>
      </c>
      <c r="E209" s="4" t="s">
        <v>120</v>
      </c>
      <c r="F209" s="6" t="s">
        <v>354</v>
      </c>
      <c r="G209" s="5" t="s">
        <v>355</v>
      </c>
      <c r="H209" s="7"/>
      <c r="I209" s="7"/>
    </row>
    <row r="210" spans="1:9" x14ac:dyDescent="0.25">
      <c r="A210" s="4" t="str">
        <f>"59524"</f>
        <v>59524</v>
      </c>
      <c r="B210" s="5">
        <v>5</v>
      </c>
      <c r="C210" s="4" t="s">
        <v>6</v>
      </c>
      <c r="D210" s="6">
        <v>4</v>
      </c>
      <c r="E210" s="4" t="s">
        <v>89</v>
      </c>
      <c r="F210" s="6" t="s">
        <v>356</v>
      </c>
      <c r="G210" s="5" t="s">
        <v>357</v>
      </c>
      <c r="H210" s="7"/>
      <c r="I210" s="7"/>
    </row>
    <row r="211" spans="1:9" ht="30" x14ac:dyDescent="0.25">
      <c r="A211" s="4" t="str">
        <f>"59536"</f>
        <v>59536</v>
      </c>
      <c r="B211" s="5">
        <v>40</v>
      </c>
      <c r="C211" s="4" t="s">
        <v>6</v>
      </c>
      <c r="D211" s="6">
        <v>4</v>
      </c>
      <c r="E211" s="4" t="s">
        <v>7</v>
      </c>
      <c r="F211" s="6" t="s">
        <v>10</v>
      </c>
      <c r="G211" s="5" t="s">
        <v>358</v>
      </c>
      <c r="H211" s="7"/>
      <c r="I211" s="7"/>
    </row>
    <row r="212" spans="1:9" x14ac:dyDescent="0.25">
      <c r="A212" s="4" t="str">
        <f>"59562"</f>
        <v>59562</v>
      </c>
      <c r="B212" s="5">
        <v>4</v>
      </c>
      <c r="C212" s="4" t="s">
        <v>6</v>
      </c>
      <c r="D212" s="6">
        <v>32</v>
      </c>
      <c r="E212" s="4" t="s">
        <v>359</v>
      </c>
      <c r="F212" s="6" t="s">
        <v>360</v>
      </c>
      <c r="G212" s="5" t="s">
        <v>361</v>
      </c>
      <c r="H212" s="7"/>
      <c r="I212" s="7"/>
    </row>
    <row r="213" spans="1:9" ht="30" x14ac:dyDescent="0.25">
      <c r="A213" s="4" t="str">
        <f>"59675"</f>
        <v>59675</v>
      </c>
      <c r="B213" s="5">
        <v>2</v>
      </c>
      <c r="C213" s="4" t="s">
        <v>6</v>
      </c>
      <c r="D213" s="6">
        <v>8</v>
      </c>
      <c r="E213" s="4" t="s">
        <v>362</v>
      </c>
      <c r="F213" s="6" t="s">
        <v>363</v>
      </c>
      <c r="G213" s="5" t="s">
        <v>364</v>
      </c>
      <c r="H213" s="7"/>
      <c r="I213" s="7"/>
    </row>
    <row r="214" spans="1:9" ht="30" x14ac:dyDescent="0.25">
      <c r="A214" s="4" t="str">
        <f>"60444"</f>
        <v>60444</v>
      </c>
      <c r="B214" s="5">
        <v>2</v>
      </c>
      <c r="C214" s="4" t="s">
        <v>8</v>
      </c>
      <c r="D214" s="6">
        <v>12</v>
      </c>
      <c r="E214" s="4" t="s">
        <v>21</v>
      </c>
      <c r="F214" s="6" t="s">
        <v>195</v>
      </c>
      <c r="G214" s="5" t="s">
        <v>365</v>
      </c>
      <c r="H214" s="7"/>
      <c r="I214" s="7"/>
    </row>
    <row r="215" spans="1:9" ht="30" x14ac:dyDescent="0.25">
      <c r="A215" s="4"/>
      <c r="B215" s="5"/>
      <c r="C215" s="4"/>
      <c r="D215" s="6" t="s">
        <v>886</v>
      </c>
      <c r="E215" s="4"/>
      <c r="F215" s="6"/>
      <c r="G215" s="5" t="s">
        <v>805</v>
      </c>
      <c r="H215" s="7"/>
      <c r="I215" s="7"/>
    </row>
    <row r="216" spans="1:9" x14ac:dyDescent="0.25">
      <c r="A216" s="4" t="str">
        <f>"61598"</f>
        <v>61598</v>
      </c>
      <c r="B216" s="5">
        <v>4</v>
      </c>
      <c r="C216" s="4" t="s">
        <v>6</v>
      </c>
      <c r="D216" s="6">
        <v>104</v>
      </c>
      <c r="E216" s="4" t="s">
        <v>170</v>
      </c>
      <c r="F216" s="6" t="s">
        <v>366</v>
      </c>
      <c r="G216" s="5" t="s">
        <v>367</v>
      </c>
      <c r="H216" s="7"/>
      <c r="I216" s="7"/>
    </row>
    <row r="217" spans="1:9" x14ac:dyDescent="0.25">
      <c r="A217" s="4" t="str">
        <f>"61608"</f>
        <v>61608</v>
      </c>
      <c r="B217" s="5">
        <v>4</v>
      </c>
      <c r="C217" s="4" t="s">
        <v>6</v>
      </c>
      <c r="D217" s="6">
        <v>104</v>
      </c>
      <c r="E217" s="4" t="s">
        <v>368</v>
      </c>
      <c r="F217" s="6" t="s">
        <v>369</v>
      </c>
      <c r="G217" s="5" t="s">
        <v>370</v>
      </c>
      <c r="H217" s="7"/>
      <c r="I217" s="7"/>
    </row>
    <row r="218" spans="1:9" x14ac:dyDescent="0.25">
      <c r="A218" s="4" t="str">
        <f>"61612"</f>
        <v>61612</v>
      </c>
      <c r="B218" s="5">
        <v>4</v>
      </c>
      <c r="C218" s="4" t="s">
        <v>6</v>
      </c>
      <c r="D218" s="6">
        <v>104</v>
      </c>
      <c r="E218" s="4" t="s">
        <v>170</v>
      </c>
      <c r="F218" s="6" t="s">
        <v>371</v>
      </c>
      <c r="G218" s="5" t="s">
        <v>372</v>
      </c>
      <c r="H218" s="7"/>
      <c r="I218" s="7"/>
    </row>
    <row r="219" spans="1:9" x14ac:dyDescent="0.25">
      <c r="A219" s="4" t="str">
        <f>"61655"</f>
        <v>61655</v>
      </c>
      <c r="B219" s="5">
        <v>4</v>
      </c>
      <c r="C219" s="4" t="s">
        <v>6</v>
      </c>
      <c r="D219" s="6">
        <v>60</v>
      </c>
      <c r="E219" s="4" t="s">
        <v>373</v>
      </c>
      <c r="F219" s="6" t="s">
        <v>366</v>
      </c>
      <c r="G219" s="5" t="s">
        <v>374</v>
      </c>
      <c r="H219" s="7"/>
      <c r="I219" s="7"/>
    </row>
    <row r="220" spans="1:9" ht="30" x14ac:dyDescent="0.25">
      <c r="A220" s="4" t="str">
        <f>"61660"</f>
        <v>61660</v>
      </c>
      <c r="B220" s="5">
        <v>4</v>
      </c>
      <c r="C220" s="4" t="s">
        <v>6</v>
      </c>
      <c r="D220" s="6">
        <v>24</v>
      </c>
      <c r="E220" s="4" t="s">
        <v>170</v>
      </c>
      <c r="F220" s="6" t="s">
        <v>375</v>
      </c>
      <c r="G220" s="5" t="s">
        <v>376</v>
      </c>
      <c r="H220" s="7"/>
      <c r="I220" s="7"/>
    </row>
    <row r="221" spans="1:9" x14ac:dyDescent="0.25">
      <c r="A221" s="4" t="str">
        <f>"63000"</f>
        <v>63000</v>
      </c>
      <c r="B221" s="5">
        <v>5</v>
      </c>
      <c r="C221" s="4" t="s">
        <v>8</v>
      </c>
      <c r="D221" s="6">
        <v>6</v>
      </c>
      <c r="E221" s="4" t="s">
        <v>198</v>
      </c>
      <c r="F221" s="6" t="s">
        <v>377</v>
      </c>
      <c r="G221" s="5" t="s">
        <v>378</v>
      </c>
      <c r="H221" s="7"/>
      <c r="I221" s="7"/>
    </row>
    <row r="222" spans="1:9" ht="30" x14ac:dyDescent="0.25">
      <c r="A222" s="4"/>
      <c r="B222" s="5"/>
      <c r="C222" s="4"/>
      <c r="D222" s="6" t="s">
        <v>886</v>
      </c>
      <c r="E222" s="4"/>
      <c r="F222" s="6"/>
      <c r="G222" s="5" t="s">
        <v>806</v>
      </c>
      <c r="H222" s="7"/>
      <c r="I222" s="7"/>
    </row>
    <row r="223" spans="1:9" x14ac:dyDescent="0.25">
      <c r="A223" s="4" t="str">
        <f>"63250"</f>
        <v>63250</v>
      </c>
      <c r="B223" s="5">
        <v>2</v>
      </c>
      <c r="C223" s="4" t="s">
        <v>8</v>
      </c>
      <c r="D223" s="6">
        <v>10</v>
      </c>
      <c r="E223" s="4" t="s">
        <v>379</v>
      </c>
      <c r="F223" s="6" t="s">
        <v>380</v>
      </c>
      <c r="G223" s="5" t="s">
        <v>381</v>
      </c>
      <c r="H223" s="7"/>
      <c r="I223" s="7"/>
    </row>
    <row r="224" spans="1:9" ht="30" x14ac:dyDescent="0.25">
      <c r="A224" s="4"/>
      <c r="B224" s="5"/>
      <c r="C224" s="4"/>
      <c r="D224" s="6" t="s">
        <v>886</v>
      </c>
      <c r="E224" s="4"/>
      <c r="F224" s="6"/>
      <c r="G224" s="5" t="s">
        <v>807</v>
      </c>
      <c r="H224" s="7"/>
      <c r="I224" s="7"/>
    </row>
    <row r="225" spans="1:9" x14ac:dyDescent="0.25">
      <c r="A225" s="4" t="str">
        <f>"63400"</f>
        <v>63400</v>
      </c>
      <c r="B225" s="5">
        <v>8</v>
      </c>
      <c r="C225" s="4" t="s">
        <v>6</v>
      </c>
      <c r="D225" s="6">
        <v>1</v>
      </c>
      <c r="E225" s="4" t="s">
        <v>159</v>
      </c>
      <c r="F225" s="6" t="s">
        <v>10</v>
      </c>
      <c r="G225" s="5" t="s">
        <v>382</v>
      </c>
      <c r="H225" s="7"/>
      <c r="I225" s="7"/>
    </row>
    <row r="226" spans="1:9" x14ac:dyDescent="0.25">
      <c r="A226" s="4" t="str">
        <f>"65235"</f>
        <v>65235</v>
      </c>
      <c r="B226" s="5">
        <v>10</v>
      </c>
      <c r="C226" s="4" t="s">
        <v>8</v>
      </c>
      <c r="D226" s="6">
        <v>20</v>
      </c>
      <c r="E226" s="4" t="s">
        <v>218</v>
      </c>
      <c r="F226" s="6" t="s">
        <v>383</v>
      </c>
      <c r="G226" s="5" t="s">
        <v>384</v>
      </c>
      <c r="H226" s="7"/>
      <c r="I226" s="7"/>
    </row>
    <row r="227" spans="1:9" ht="30" x14ac:dyDescent="0.25">
      <c r="A227" s="4"/>
      <c r="B227" s="5"/>
      <c r="C227" s="4"/>
      <c r="D227" s="6" t="s">
        <v>886</v>
      </c>
      <c r="E227" s="4"/>
      <c r="F227" s="6"/>
      <c r="G227" s="5" t="s">
        <v>808</v>
      </c>
      <c r="H227" s="7"/>
      <c r="I227" s="7"/>
    </row>
    <row r="228" spans="1:9" x14ac:dyDescent="0.25">
      <c r="A228" s="4" t="str">
        <f>"65280"</f>
        <v>65280</v>
      </c>
      <c r="B228" s="5">
        <v>6</v>
      </c>
      <c r="C228" s="4" t="s">
        <v>8</v>
      </c>
      <c r="D228" s="6">
        <v>10</v>
      </c>
      <c r="E228" s="4" t="s">
        <v>52</v>
      </c>
      <c r="F228" s="6" t="s">
        <v>383</v>
      </c>
      <c r="G228" s="5" t="s">
        <v>385</v>
      </c>
      <c r="H228" s="7"/>
      <c r="I228" s="7"/>
    </row>
    <row r="229" spans="1:9" ht="30" x14ac:dyDescent="0.25">
      <c r="A229" s="4"/>
      <c r="B229" s="5"/>
      <c r="C229" s="4"/>
      <c r="D229" s="6" t="s">
        <v>886</v>
      </c>
      <c r="E229" s="4"/>
      <c r="F229" s="6"/>
      <c r="G229" s="5" t="s">
        <v>809</v>
      </c>
      <c r="H229" s="7"/>
      <c r="I229" s="7"/>
    </row>
    <row r="230" spans="1:9" x14ac:dyDescent="0.25">
      <c r="A230" s="4" t="str">
        <f>"65636"</f>
        <v>65636</v>
      </c>
      <c r="B230" s="5">
        <v>2</v>
      </c>
      <c r="C230" s="4" t="s">
        <v>8</v>
      </c>
      <c r="D230" s="6">
        <v>10</v>
      </c>
      <c r="E230" s="4" t="s">
        <v>386</v>
      </c>
      <c r="F230" s="6" t="s">
        <v>156</v>
      </c>
      <c r="G230" s="5" t="s">
        <v>387</v>
      </c>
      <c r="H230" s="7"/>
      <c r="I230" s="7"/>
    </row>
    <row r="231" spans="1:9" ht="30" x14ac:dyDescent="0.25">
      <c r="A231" s="4"/>
      <c r="B231" s="5"/>
      <c r="C231" s="4"/>
      <c r="D231" s="6" t="s">
        <v>886</v>
      </c>
      <c r="E231" s="4"/>
      <c r="F231" s="6"/>
      <c r="G231" s="5" t="s">
        <v>810</v>
      </c>
      <c r="H231" s="7"/>
      <c r="I231" s="7"/>
    </row>
    <row r="232" spans="1:9" x14ac:dyDescent="0.25">
      <c r="A232" s="4" t="str">
        <f>"66555"</f>
        <v>66555</v>
      </c>
      <c r="B232" s="5">
        <v>6</v>
      </c>
      <c r="C232" s="4" t="s">
        <v>8</v>
      </c>
      <c r="D232" s="6">
        <v>10</v>
      </c>
      <c r="E232" s="4" t="s">
        <v>218</v>
      </c>
      <c r="F232" s="6" t="s">
        <v>388</v>
      </c>
      <c r="G232" s="5" t="s">
        <v>389</v>
      </c>
      <c r="H232" s="7"/>
      <c r="I232" s="7"/>
    </row>
    <row r="233" spans="1:9" ht="30" x14ac:dyDescent="0.25">
      <c r="A233" s="4"/>
      <c r="B233" s="5"/>
      <c r="C233" s="4"/>
      <c r="D233" s="6" t="s">
        <v>886</v>
      </c>
      <c r="E233" s="4"/>
      <c r="F233" s="6"/>
      <c r="G233" s="5" t="s">
        <v>811</v>
      </c>
      <c r="H233" s="7"/>
      <c r="I233" s="7"/>
    </row>
    <row r="234" spans="1:9" x14ac:dyDescent="0.25">
      <c r="A234" s="4" t="str">
        <f>"66582"</f>
        <v>66582</v>
      </c>
      <c r="B234" s="5">
        <v>6</v>
      </c>
      <c r="C234" s="4" t="s">
        <v>8</v>
      </c>
      <c r="D234" s="6">
        <v>10</v>
      </c>
      <c r="E234" s="4" t="s">
        <v>218</v>
      </c>
      <c r="F234" s="6" t="s">
        <v>388</v>
      </c>
      <c r="G234" s="5" t="s">
        <v>390</v>
      </c>
      <c r="H234" s="7"/>
      <c r="I234" s="7"/>
    </row>
    <row r="235" spans="1:9" ht="30" x14ac:dyDescent="0.25">
      <c r="A235" s="4"/>
      <c r="B235" s="5"/>
      <c r="C235" s="4"/>
      <c r="D235" s="6" t="s">
        <v>886</v>
      </c>
      <c r="E235" s="4"/>
      <c r="F235" s="6"/>
      <c r="G235" s="5" t="s">
        <v>812</v>
      </c>
      <c r="H235" s="7"/>
      <c r="I235" s="7"/>
    </row>
    <row r="236" spans="1:9" x14ac:dyDescent="0.25">
      <c r="A236" s="4" t="str">
        <f>"67138"</f>
        <v>67138</v>
      </c>
      <c r="B236" s="5">
        <v>4</v>
      </c>
      <c r="C236" s="4" t="s">
        <v>8</v>
      </c>
      <c r="D236" s="6">
        <v>8</v>
      </c>
      <c r="E236" s="4" t="s">
        <v>391</v>
      </c>
      <c r="F236" s="6" t="s">
        <v>383</v>
      </c>
      <c r="G236" s="5" t="s">
        <v>392</v>
      </c>
      <c r="H236" s="7"/>
      <c r="I236" s="7"/>
    </row>
    <row r="237" spans="1:9" ht="30" x14ac:dyDescent="0.25">
      <c r="A237" s="4"/>
      <c r="B237" s="5"/>
      <c r="C237" s="4"/>
      <c r="D237" s="6" t="s">
        <v>886</v>
      </c>
      <c r="E237" s="4"/>
      <c r="F237" s="6"/>
      <c r="G237" s="5" t="s">
        <v>813</v>
      </c>
      <c r="H237" s="7"/>
      <c r="I237" s="7"/>
    </row>
    <row r="238" spans="1:9" x14ac:dyDescent="0.25">
      <c r="A238" s="4" t="str">
        <f>"67378"</f>
        <v>67378</v>
      </c>
      <c r="B238" s="5">
        <v>4</v>
      </c>
      <c r="C238" s="4" t="s">
        <v>8</v>
      </c>
      <c r="D238" s="6">
        <v>4</v>
      </c>
      <c r="E238" s="4" t="s">
        <v>393</v>
      </c>
      <c r="F238" s="6" t="s">
        <v>383</v>
      </c>
      <c r="G238" s="5" t="s">
        <v>394</v>
      </c>
      <c r="H238" s="7"/>
      <c r="I238" s="7"/>
    </row>
    <row r="239" spans="1:9" ht="30" x14ac:dyDescent="0.25">
      <c r="A239" s="4"/>
      <c r="B239" s="5"/>
      <c r="C239" s="4"/>
      <c r="D239" s="6" t="s">
        <v>886</v>
      </c>
      <c r="E239" s="4"/>
      <c r="F239" s="6"/>
      <c r="G239" s="5" t="s">
        <v>814</v>
      </c>
      <c r="H239" s="7"/>
      <c r="I239" s="7"/>
    </row>
    <row r="240" spans="1:9" x14ac:dyDescent="0.25">
      <c r="A240" s="4" t="str">
        <f>"67678"</f>
        <v>67678</v>
      </c>
      <c r="B240" s="5">
        <v>1</v>
      </c>
      <c r="C240" s="4" t="s">
        <v>6</v>
      </c>
      <c r="D240" s="6">
        <v>1000</v>
      </c>
      <c r="E240" s="4" t="s">
        <v>25</v>
      </c>
      <c r="F240" s="6" t="s">
        <v>10</v>
      </c>
      <c r="G240" s="5" t="s">
        <v>395</v>
      </c>
      <c r="H240" s="7"/>
      <c r="I240" s="7"/>
    </row>
    <row r="241" spans="1:9" x14ac:dyDescent="0.25">
      <c r="A241" s="4" t="str">
        <f>"67689"</f>
        <v>67689</v>
      </c>
      <c r="B241" s="5">
        <v>4</v>
      </c>
      <c r="C241" s="4" t="s">
        <v>6</v>
      </c>
      <c r="D241" s="6">
        <v>1000</v>
      </c>
      <c r="E241" s="4" t="s">
        <v>25</v>
      </c>
      <c r="F241" s="6" t="s">
        <v>153</v>
      </c>
      <c r="G241" s="5" t="s">
        <v>396</v>
      </c>
      <c r="H241" s="7"/>
      <c r="I241" s="7"/>
    </row>
    <row r="242" spans="1:9" x14ac:dyDescent="0.25">
      <c r="A242" s="4" t="str">
        <f>"67804"</f>
        <v>67804</v>
      </c>
      <c r="B242" s="5">
        <v>6</v>
      </c>
      <c r="C242" s="4" t="s">
        <v>8</v>
      </c>
      <c r="D242" s="6">
        <v>12</v>
      </c>
      <c r="E242" s="4" t="s">
        <v>25</v>
      </c>
      <c r="F242" s="6" t="s">
        <v>397</v>
      </c>
      <c r="G242" s="5" t="s">
        <v>398</v>
      </c>
      <c r="H242" s="7"/>
      <c r="I242" s="7"/>
    </row>
    <row r="243" spans="1:9" ht="30" x14ac:dyDescent="0.25">
      <c r="A243" s="4"/>
      <c r="B243" s="5"/>
      <c r="C243" s="4"/>
      <c r="D243" s="6" t="s">
        <v>886</v>
      </c>
      <c r="E243" s="4"/>
      <c r="F243" s="6"/>
      <c r="G243" s="5" t="s">
        <v>815</v>
      </c>
      <c r="H243" s="7"/>
      <c r="I243" s="7"/>
    </row>
    <row r="244" spans="1:9" ht="30" x14ac:dyDescent="0.25">
      <c r="A244" s="4" t="str">
        <f>"68102"</f>
        <v>68102</v>
      </c>
      <c r="B244" s="5">
        <v>1</v>
      </c>
      <c r="C244" s="4" t="s">
        <v>8</v>
      </c>
      <c r="D244" s="6">
        <v>10</v>
      </c>
      <c r="E244" s="4" t="s">
        <v>59</v>
      </c>
      <c r="F244" s="6" t="s">
        <v>156</v>
      </c>
      <c r="G244" s="5" t="s">
        <v>399</v>
      </c>
      <c r="H244" s="7"/>
      <c r="I244" s="7"/>
    </row>
    <row r="245" spans="1:9" ht="30" x14ac:dyDescent="0.25">
      <c r="A245" s="4"/>
      <c r="B245" s="5"/>
      <c r="C245" s="4"/>
      <c r="D245" s="6" t="s">
        <v>886</v>
      </c>
      <c r="E245" s="4"/>
      <c r="F245" s="6"/>
      <c r="G245" s="5" t="s">
        <v>816</v>
      </c>
      <c r="H245" s="7"/>
      <c r="I245" s="7"/>
    </row>
    <row r="246" spans="1:9" ht="30" x14ac:dyDescent="0.25">
      <c r="A246" s="4" t="str">
        <f>"68104"</f>
        <v>68104</v>
      </c>
      <c r="B246" s="5">
        <v>1</v>
      </c>
      <c r="C246" s="4" t="s">
        <v>8</v>
      </c>
      <c r="D246" s="6">
        <v>10</v>
      </c>
      <c r="E246" s="4" t="s">
        <v>59</v>
      </c>
      <c r="F246" s="6" t="s">
        <v>151</v>
      </c>
      <c r="G246" s="5" t="s">
        <v>400</v>
      </c>
      <c r="H246" s="7"/>
      <c r="I246" s="7"/>
    </row>
    <row r="247" spans="1:9" ht="30" x14ac:dyDescent="0.25">
      <c r="A247" s="4"/>
      <c r="B247" s="5"/>
      <c r="C247" s="4"/>
      <c r="D247" s="6" t="s">
        <v>886</v>
      </c>
      <c r="E247" s="4"/>
      <c r="F247" s="6"/>
      <c r="G247" s="5" t="s">
        <v>817</v>
      </c>
      <c r="H247" s="7"/>
      <c r="I247" s="7"/>
    </row>
    <row r="248" spans="1:9" ht="30" x14ac:dyDescent="0.25">
      <c r="A248" s="4" t="str">
        <f>"68106"</f>
        <v>68106</v>
      </c>
      <c r="B248" s="5">
        <v>1</v>
      </c>
      <c r="C248" s="4" t="s">
        <v>8</v>
      </c>
      <c r="D248" s="6">
        <v>10</v>
      </c>
      <c r="E248" s="4" t="s">
        <v>59</v>
      </c>
      <c r="F248" s="6" t="s">
        <v>156</v>
      </c>
      <c r="G248" s="5" t="s">
        <v>401</v>
      </c>
      <c r="H248" s="7"/>
      <c r="I248" s="7"/>
    </row>
    <row r="249" spans="1:9" ht="30" x14ac:dyDescent="0.25">
      <c r="A249" s="4"/>
      <c r="B249" s="5"/>
      <c r="C249" s="4"/>
      <c r="D249" s="6" t="s">
        <v>886</v>
      </c>
      <c r="E249" s="4"/>
      <c r="F249" s="6"/>
      <c r="G249" s="5" t="s">
        <v>818</v>
      </c>
      <c r="H249" s="7"/>
      <c r="I249" s="7"/>
    </row>
    <row r="250" spans="1:9" ht="30" x14ac:dyDescent="0.25">
      <c r="A250" s="4" t="str">
        <f>"68108"</f>
        <v>68108</v>
      </c>
      <c r="B250" s="5">
        <v>1</v>
      </c>
      <c r="C250" s="4" t="s">
        <v>8</v>
      </c>
      <c r="D250" s="6">
        <v>10</v>
      </c>
      <c r="E250" s="4" t="s">
        <v>59</v>
      </c>
      <c r="F250" s="6" t="s">
        <v>156</v>
      </c>
      <c r="G250" s="5" t="s">
        <v>402</v>
      </c>
      <c r="H250" s="7"/>
      <c r="I250" s="7"/>
    </row>
    <row r="251" spans="1:9" ht="30" x14ac:dyDescent="0.25">
      <c r="A251" s="4"/>
      <c r="B251" s="5"/>
      <c r="C251" s="4"/>
      <c r="D251" s="6" t="s">
        <v>886</v>
      </c>
      <c r="E251" s="4"/>
      <c r="F251" s="6"/>
      <c r="G251" s="5" t="s">
        <v>819</v>
      </c>
      <c r="H251" s="7"/>
      <c r="I251" s="7"/>
    </row>
    <row r="252" spans="1:9" x14ac:dyDescent="0.25">
      <c r="A252" s="4" t="str">
        <f>"68268"</f>
        <v>68268</v>
      </c>
      <c r="B252" s="5">
        <v>20</v>
      </c>
      <c r="C252" s="4" t="s">
        <v>6</v>
      </c>
      <c r="D252" s="6">
        <v>500</v>
      </c>
      <c r="E252" s="4" t="s">
        <v>25</v>
      </c>
      <c r="F252" s="6" t="s">
        <v>210</v>
      </c>
      <c r="G252" s="5" t="s">
        <v>403</v>
      </c>
      <c r="H252" s="7"/>
      <c r="I252" s="7"/>
    </row>
    <row r="253" spans="1:9" x14ac:dyDescent="0.25">
      <c r="A253" s="4" t="str">
        <f>"68276"</f>
        <v>68276</v>
      </c>
      <c r="B253" s="5">
        <v>20</v>
      </c>
      <c r="C253" s="4" t="s">
        <v>6</v>
      </c>
      <c r="D253" s="6">
        <v>250</v>
      </c>
      <c r="E253" s="4" t="s">
        <v>25</v>
      </c>
      <c r="F253" s="6" t="s">
        <v>210</v>
      </c>
      <c r="G253" s="5" t="s">
        <v>404</v>
      </c>
      <c r="H253" s="7"/>
      <c r="I253" s="7"/>
    </row>
    <row r="254" spans="1:9" ht="30" x14ac:dyDescent="0.25">
      <c r="A254" s="4" t="str">
        <f>"70823"</f>
        <v>70823</v>
      </c>
      <c r="B254" s="5">
        <v>48</v>
      </c>
      <c r="C254" s="4" t="s">
        <v>6</v>
      </c>
      <c r="D254" s="6">
        <v>1</v>
      </c>
      <c r="E254" s="4" t="s">
        <v>108</v>
      </c>
      <c r="F254" s="6" t="s">
        <v>397</v>
      </c>
      <c r="G254" s="5" t="s">
        <v>405</v>
      </c>
      <c r="H254" s="7"/>
      <c r="I254" s="7"/>
    </row>
    <row r="255" spans="1:9" ht="30" x14ac:dyDescent="0.25">
      <c r="A255" s="4" t="str">
        <f>"71100"</f>
        <v>71100</v>
      </c>
      <c r="B255" s="5">
        <v>4</v>
      </c>
      <c r="C255" s="4" t="s">
        <v>6</v>
      </c>
      <c r="D255" s="6">
        <v>1000</v>
      </c>
      <c r="E255" s="4" t="s">
        <v>25</v>
      </c>
      <c r="F255" s="6" t="s">
        <v>406</v>
      </c>
      <c r="G255" s="5" t="s">
        <v>407</v>
      </c>
      <c r="H255" s="7"/>
      <c r="I255" s="7"/>
    </row>
    <row r="256" spans="1:9" ht="30" x14ac:dyDescent="0.25">
      <c r="A256" s="4" t="str">
        <f>"71174"</f>
        <v>71174</v>
      </c>
      <c r="B256" s="5">
        <v>4</v>
      </c>
      <c r="C256" s="4" t="s">
        <v>6</v>
      </c>
      <c r="D256" s="6">
        <v>1</v>
      </c>
      <c r="E256" s="4" t="s">
        <v>408</v>
      </c>
      <c r="F256" s="6" t="s">
        <v>409</v>
      </c>
      <c r="G256" s="5" t="s">
        <v>410</v>
      </c>
      <c r="H256" s="7"/>
      <c r="I256" s="7"/>
    </row>
    <row r="257" spans="1:9" x14ac:dyDescent="0.25">
      <c r="A257" s="4" t="str">
        <f>"71188"</f>
        <v>71188</v>
      </c>
      <c r="B257" s="5">
        <v>10</v>
      </c>
      <c r="C257" s="4" t="s">
        <v>6</v>
      </c>
      <c r="D257" s="6">
        <v>1</v>
      </c>
      <c r="E257" s="4" t="s">
        <v>155</v>
      </c>
      <c r="F257" s="6" t="s">
        <v>156</v>
      </c>
      <c r="G257" s="5" t="s">
        <v>411</v>
      </c>
      <c r="H257" s="7"/>
      <c r="I257" s="7"/>
    </row>
    <row r="258" spans="1:9" x14ac:dyDescent="0.25">
      <c r="A258" s="4" t="str">
        <f>"71276"</f>
        <v>71276</v>
      </c>
      <c r="B258" s="5">
        <v>1</v>
      </c>
      <c r="C258" s="4" t="s">
        <v>6</v>
      </c>
      <c r="D258" s="6">
        <v>1</v>
      </c>
      <c r="E258" s="4" t="s">
        <v>133</v>
      </c>
      <c r="F258" s="6" t="s">
        <v>17</v>
      </c>
      <c r="G258" s="5" t="s">
        <v>412</v>
      </c>
      <c r="H258" s="7"/>
      <c r="I258" s="7"/>
    </row>
    <row r="259" spans="1:9" x14ac:dyDescent="0.25">
      <c r="A259" s="4" t="str">
        <f>"71277"</f>
        <v>71277</v>
      </c>
      <c r="B259" s="5">
        <v>6</v>
      </c>
      <c r="C259" s="4" t="s">
        <v>6</v>
      </c>
      <c r="D259" s="6">
        <v>1</v>
      </c>
      <c r="E259" s="4" t="s">
        <v>31</v>
      </c>
      <c r="F259" s="6">
        <v>1909</v>
      </c>
      <c r="G259" s="5" t="s">
        <v>413</v>
      </c>
      <c r="H259" s="7"/>
      <c r="I259" s="7"/>
    </row>
    <row r="260" spans="1:9" x14ac:dyDescent="0.25">
      <c r="A260" s="4" t="str">
        <f>"71297"</f>
        <v>71297</v>
      </c>
      <c r="B260" s="5">
        <v>10</v>
      </c>
      <c r="C260" s="4" t="s">
        <v>6</v>
      </c>
      <c r="D260" s="6">
        <v>1</v>
      </c>
      <c r="E260" s="4" t="s">
        <v>414</v>
      </c>
      <c r="F260" s="6">
        <v>1909</v>
      </c>
      <c r="G260" s="5" t="s">
        <v>415</v>
      </c>
      <c r="H260" s="7"/>
      <c r="I260" s="7"/>
    </row>
    <row r="261" spans="1:9" x14ac:dyDescent="0.25">
      <c r="A261" s="4" t="str">
        <f>"71306"</f>
        <v>71306</v>
      </c>
      <c r="B261" s="5">
        <v>25</v>
      </c>
      <c r="C261" s="4" t="s">
        <v>6</v>
      </c>
      <c r="D261" s="6">
        <v>1</v>
      </c>
      <c r="E261" s="4" t="s">
        <v>19</v>
      </c>
      <c r="F261" s="6">
        <v>1909</v>
      </c>
      <c r="G261" s="5" t="s">
        <v>416</v>
      </c>
      <c r="H261" s="7"/>
      <c r="I261" s="7"/>
    </row>
    <row r="262" spans="1:9" x14ac:dyDescent="0.25">
      <c r="A262" s="4" t="str">
        <f>"71339"</f>
        <v>71339</v>
      </c>
      <c r="B262" s="5">
        <v>4</v>
      </c>
      <c r="C262" s="4" t="s">
        <v>6</v>
      </c>
      <c r="D262" s="6">
        <v>1</v>
      </c>
      <c r="E262" s="4" t="s">
        <v>19</v>
      </c>
      <c r="F262" s="6">
        <v>1909</v>
      </c>
      <c r="G262" s="5" t="s">
        <v>417</v>
      </c>
      <c r="H262" s="7"/>
      <c r="I262" s="7"/>
    </row>
    <row r="263" spans="1:9" x14ac:dyDescent="0.25">
      <c r="A263" s="4" t="str">
        <f>"71368"</f>
        <v>71368</v>
      </c>
      <c r="B263" s="5">
        <v>4</v>
      </c>
      <c r="C263" s="4" t="s">
        <v>8</v>
      </c>
      <c r="D263" s="6">
        <v>4</v>
      </c>
      <c r="E263" s="4" t="s">
        <v>7</v>
      </c>
      <c r="F263" s="6" t="s">
        <v>17</v>
      </c>
      <c r="G263" s="5" t="s">
        <v>418</v>
      </c>
      <c r="H263" s="7"/>
      <c r="I263" s="7"/>
    </row>
    <row r="264" spans="1:9" ht="30" x14ac:dyDescent="0.25">
      <c r="A264" s="4"/>
      <c r="B264" s="5"/>
      <c r="C264" s="4"/>
      <c r="D264" s="6" t="s">
        <v>886</v>
      </c>
      <c r="E264" s="4"/>
      <c r="F264" s="6"/>
      <c r="G264" s="5" t="s">
        <v>820</v>
      </c>
      <c r="H264" s="7"/>
      <c r="I264" s="7"/>
    </row>
    <row r="265" spans="1:9" x14ac:dyDescent="0.25">
      <c r="A265" s="4" t="str">
        <f>"71372"</f>
        <v>71372</v>
      </c>
      <c r="B265" s="5">
        <v>4</v>
      </c>
      <c r="C265" s="4" t="s">
        <v>6</v>
      </c>
      <c r="D265" s="6">
        <v>1</v>
      </c>
      <c r="E265" s="4" t="s">
        <v>414</v>
      </c>
      <c r="F265" s="6" t="s">
        <v>17</v>
      </c>
      <c r="G265" s="5" t="s">
        <v>419</v>
      </c>
      <c r="H265" s="7"/>
      <c r="I265" s="7"/>
    </row>
    <row r="266" spans="1:9" x14ac:dyDescent="0.25">
      <c r="A266" s="4" t="str">
        <f>"71432"</f>
        <v>71432</v>
      </c>
      <c r="B266" s="5">
        <v>10</v>
      </c>
      <c r="C266" s="4" t="s">
        <v>6</v>
      </c>
      <c r="D266" s="6">
        <v>1</v>
      </c>
      <c r="E266" s="4" t="s">
        <v>79</v>
      </c>
      <c r="F266" s="6" t="s">
        <v>29</v>
      </c>
      <c r="G266" s="5" t="s">
        <v>420</v>
      </c>
      <c r="H266" s="7"/>
      <c r="I266" s="7"/>
    </row>
    <row r="267" spans="1:9" ht="30" x14ac:dyDescent="0.25">
      <c r="A267" s="4" t="str">
        <f>"71451"</f>
        <v>71451</v>
      </c>
      <c r="B267" s="5">
        <v>6</v>
      </c>
      <c r="C267" s="4" t="s">
        <v>6</v>
      </c>
      <c r="D267" s="6">
        <v>50</v>
      </c>
      <c r="E267" s="4" t="s">
        <v>421</v>
      </c>
      <c r="F267" s="6" t="s">
        <v>422</v>
      </c>
      <c r="G267" s="5" t="s">
        <v>423</v>
      </c>
      <c r="H267" s="7"/>
      <c r="I267" s="7"/>
    </row>
    <row r="268" spans="1:9" x14ac:dyDescent="0.25">
      <c r="A268" s="4" t="str">
        <f>"71454"</f>
        <v>71454</v>
      </c>
      <c r="B268" s="5">
        <v>8</v>
      </c>
      <c r="C268" s="4" t="s">
        <v>6</v>
      </c>
      <c r="D268" s="6">
        <v>1</v>
      </c>
      <c r="E268" s="4" t="s">
        <v>89</v>
      </c>
      <c r="F268" s="6">
        <v>1909</v>
      </c>
      <c r="G268" s="5" t="s">
        <v>424</v>
      </c>
      <c r="H268" s="7"/>
      <c r="I268" s="7"/>
    </row>
    <row r="269" spans="1:9" x14ac:dyDescent="0.25">
      <c r="A269" s="4" t="str">
        <f>"71475"</f>
        <v>71475</v>
      </c>
      <c r="B269" s="5">
        <v>8</v>
      </c>
      <c r="C269" s="4" t="s">
        <v>8</v>
      </c>
      <c r="D269" s="6">
        <v>4</v>
      </c>
      <c r="E269" s="4" t="s">
        <v>425</v>
      </c>
      <c r="F269" s="6" t="s">
        <v>17</v>
      </c>
      <c r="G269" s="5" t="s">
        <v>426</v>
      </c>
      <c r="H269" s="7"/>
      <c r="I269" s="7"/>
    </row>
    <row r="270" spans="1:9" ht="30" x14ac:dyDescent="0.25">
      <c r="A270" s="4"/>
      <c r="B270" s="5"/>
      <c r="C270" s="4"/>
      <c r="D270" s="6" t="s">
        <v>886</v>
      </c>
      <c r="E270" s="4"/>
      <c r="F270" s="6"/>
      <c r="G270" s="5" t="s">
        <v>821</v>
      </c>
      <c r="H270" s="7"/>
      <c r="I270" s="7"/>
    </row>
    <row r="271" spans="1:9" x14ac:dyDescent="0.25">
      <c r="A271" s="4" t="str">
        <f>"71497"</f>
        <v>71497</v>
      </c>
      <c r="B271" s="5">
        <v>20</v>
      </c>
      <c r="C271" s="4" t="s">
        <v>6</v>
      </c>
      <c r="D271" s="6">
        <v>1</v>
      </c>
      <c r="E271" s="4" t="s">
        <v>19</v>
      </c>
      <c r="F271" s="6">
        <v>1909</v>
      </c>
      <c r="G271" s="5" t="s">
        <v>427</v>
      </c>
      <c r="H271" s="7"/>
      <c r="I271" s="7"/>
    </row>
    <row r="272" spans="1:9" x14ac:dyDescent="0.25">
      <c r="A272" s="4" t="str">
        <f>"71498"</f>
        <v>71498</v>
      </c>
      <c r="B272" s="5">
        <v>20</v>
      </c>
      <c r="C272" s="4" t="s">
        <v>6</v>
      </c>
      <c r="D272" s="6">
        <v>1</v>
      </c>
      <c r="E272" s="4" t="s">
        <v>19</v>
      </c>
      <c r="F272" s="6">
        <v>1909</v>
      </c>
      <c r="G272" s="5" t="s">
        <v>428</v>
      </c>
      <c r="H272" s="7"/>
      <c r="I272" s="7"/>
    </row>
    <row r="273" spans="1:9" x14ac:dyDescent="0.25">
      <c r="A273" s="4" t="str">
        <f>"71515"</f>
        <v>71515</v>
      </c>
      <c r="B273" s="5">
        <v>2</v>
      </c>
      <c r="C273" s="4" t="s">
        <v>6</v>
      </c>
      <c r="D273" s="6">
        <v>1</v>
      </c>
      <c r="E273" s="4" t="s">
        <v>89</v>
      </c>
      <c r="F273" s="6" t="s">
        <v>429</v>
      </c>
      <c r="G273" s="5" t="s">
        <v>430</v>
      </c>
      <c r="H273" s="7"/>
      <c r="I273" s="7"/>
    </row>
    <row r="274" spans="1:9" x14ac:dyDescent="0.25">
      <c r="A274" s="4" t="str">
        <f>"71526"</f>
        <v>71526</v>
      </c>
      <c r="B274" s="5">
        <v>8</v>
      </c>
      <c r="C274" s="4" t="s">
        <v>6</v>
      </c>
      <c r="D274" s="6">
        <v>1</v>
      </c>
      <c r="E274" s="4" t="s">
        <v>133</v>
      </c>
      <c r="F274" s="6" t="s">
        <v>431</v>
      </c>
      <c r="G274" s="5" t="s">
        <v>432</v>
      </c>
      <c r="H274" s="7"/>
      <c r="I274" s="7"/>
    </row>
    <row r="275" spans="1:9" x14ac:dyDescent="0.25">
      <c r="A275" s="4" t="str">
        <f>"71565"</f>
        <v>71565</v>
      </c>
      <c r="B275" s="5">
        <v>5</v>
      </c>
      <c r="C275" s="4" t="s">
        <v>8</v>
      </c>
      <c r="D275" s="6">
        <v>10</v>
      </c>
      <c r="E275" s="4" t="s">
        <v>7</v>
      </c>
      <c r="F275" s="6" t="s">
        <v>433</v>
      </c>
      <c r="G275" s="5" t="s">
        <v>434</v>
      </c>
      <c r="H275" s="7"/>
      <c r="I275" s="7"/>
    </row>
    <row r="276" spans="1:9" x14ac:dyDescent="0.25">
      <c r="A276" s="4"/>
      <c r="B276" s="5"/>
      <c r="C276" s="4"/>
      <c r="D276" s="6" t="s">
        <v>886</v>
      </c>
      <c r="E276" s="4"/>
      <c r="F276" s="6"/>
      <c r="G276" s="5" t="s">
        <v>822</v>
      </c>
      <c r="H276" s="7"/>
      <c r="I276" s="7"/>
    </row>
    <row r="277" spans="1:9" x14ac:dyDescent="0.25">
      <c r="A277" s="4" t="str">
        <f>"71605"</f>
        <v>71605</v>
      </c>
      <c r="B277" s="5">
        <v>12</v>
      </c>
      <c r="C277" s="4" t="s">
        <v>8</v>
      </c>
      <c r="D277" s="6">
        <v>4</v>
      </c>
      <c r="E277" s="4" t="s">
        <v>435</v>
      </c>
      <c r="F277" s="6" t="s">
        <v>17</v>
      </c>
      <c r="G277" s="5" t="s">
        <v>436</v>
      </c>
      <c r="H277" s="7"/>
      <c r="I277" s="7"/>
    </row>
    <row r="278" spans="1:9" x14ac:dyDescent="0.25">
      <c r="A278" s="4"/>
      <c r="B278" s="5"/>
      <c r="C278" s="4"/>
      <c r="D278" s="6" t="s">
        <v>886</v>
      </c>
      <c r="E278" s="4"/>
      <c r="F278" s="6"/>
      <c r="G278" s="5" t="s">
        <v>889</v>
      </c>
      <c r="H278" s="7"/>
      <c r="I278" s="7"/>
    </row>
    <row r="279" spans="1:9" x14ac:dyDescent="0.25">
      <c r="A279" s="4" t="str">
        <f>"71608"</f>
        <v>71608</v>
      </c>
      <c r="B279" s="5">
        <v>1</v>
      </c>
      <c r="C279" s="4" t="s">
        <v>8</v>
      </c>
      <c r="D279" s="6">
        <v>4</v>
      </c>
      <c r="E279" s="4" t="s">
        <v>7</v>
      </c>
      <c r="F279" s="6" t="s">
        <v>17</v>
      </c>
      <c r="G279" s="5" t="s">
        <v>437</v>
      </c>
      <c r="H279" s="7"/>
      <c r="I279" s="7"/>
    </row>
    <row r="280" spans="1:9" x14ac:dyDescent="0.25">
      <c r="A280" s="4"/>
      <c r="B280" s="5"/>
      <c r="C280" s="4"/>
      <c r="D280" s="6" t="s">
        <v>886</v>
      </c>
      <c r="E280" s="4"/>
      <c r="F280" s="6"/>
      <c r="G280" s="5" t="s">
        <v>823</v>
      </c>
      <c r="H280" s="7"/>
      <c r="I280" s="7"/>
    </row>
    <row r="281" spans="1:9" x14ac:dyDescent="0.25">
      <c r="A281" s="4" t="str">
        <f>"71940"</f>
        <v>71940</v>
      </c>
      <c r="B281" s="5">
        <v>16</v>
      </c>
      <c r="C281" s="4" t="s">
        <v>6</v>
      </c>
      <c r="D281" s="6">
        <v>1</v>
      </c>
      <c r="E281" s="4" t="s">
        <v>108</v>
      </c>
      <c r="F281" s="6">
        <v>1909</v>
      </c>
      <c r="G281" s="5" t="s">
        <v>438</v>
      </c>
      <c r="H281" s="7"/>
      <c r="I281" s="7"/>
    </row>
    <row r="282" spans="1:9" x14ac:dyDescent="0.25">
      <c r="A282" s="4" t="str">
        <f>"72249"</f>
        <v>72249</v>
      </c>
      <c r="B282" s="5">
        <v>5</v>
      </c>
      <c r="C282" s="4" t="s">
        <v>8</v>
      </c>
      <c r="D282" s="6">
        <v>4</v>
      </c>
      <c r="E282" s="4" t="s">
        <v>79</v>
      </c>
      <c r="F282" s="6" t="s">
        <v>65</v>
      </c>
      <c r="G282" s="5" t="s">
        <v>439</v>
      </c>
      <c r="H282" s="7"/>
      <c r="I282" s="7"/>
    </row>
    <row r="283" spans="1:9" ht="30" x14ac:dyDescent="0.25">
      <c r="A283" s="4"/>
      <c r="B283" s="5"/>
      <c r="C283" s="4"/>
      <c r="D283" s="6" t="s">
        <v>886</v>
      </c>
      <c r="E283" s="4"/>
      <c r="F283" s="6"/>
      <c r="G283" s="5" t="s">
        <v>824</v>
      </c>
      <c r="H283" s="7"/>
      <c r="I283" s="7"/>
    </row>
    <row r="284" spans="1:9" x14ac:dyDescent="0.25">
      <c r="A284" s="4" t="str">
        <f>"72266"</f>
        <v>72266</v>
      </c>
      <c r="B284" s="5">
        <v>5</v>
      </c>
      <c r="C284" s="4" t="s">
        <v>8</v>
      </c>
      <c r="D284" s="6">
        <v>4</v>
      </c>
      <c r="E284" s="4" t="s">
        <v>7</v>
      </c>
      <c r="F284" s="6" t="s">
        <v>65</v>
      </c>
      <c r="G284" s="5" t="s">
        <v>440</v>
      </c>
      <c r="H284" s="7"/>
      <c r="I284" s="7"/>
    </row>
    <row r="285" spans="1:9" x14ac:dyDescent="0.25">
      <c r="A285" s="4"/>
      <c r="B285" s="5"/>
      <c r="C285" s="4"/>
      <c r="D285" s="6" t="s">
        <v>886</v>
      </c>
      <c r="E285" s="4"/>
      <c r="F285" s="6"/>
      <c r="G285" s="5" t="s">
        <v>825</v>
      </c>
      <c r="H285" s="7"/>
      <c r="I285" s="7"/>
    </row>
    <row r="286" spans="1:9" x14ac:dyDescent="0.25">
      <c r="A286" s="4" t="str">
        <f>"72291"</f>
        <v>72291</v>
      </c>
      <c r="B286" s="5">
        <v>20</v>
      </c>
      <c r="C286" s="4" t="s">
        <v>6</v>
      </c>
      <c r="D286" s="6">
        <v>1</v>
      </c>
      <c r="E286" s="4" t="s">
        <v>120</v>
      </c>
      <c r="F286" s="6" t="s">
        <v>17</v>
      </c>
      <c r="G286" s="5" t="s">
        <v>441</v>
      </c>
      <c r="H286" s="7"/>
      <c r="I286" s="7"/>
    </row>
    <row r="287" spans="1:9" x14ac:dyDescent="0.25">
      <c r="A287" s="4" t="str">
        <f>"72294"</f>
        <v>72294</v>
      </c>
      <c r="B287" s="5">
        <v>5</v>
      </c>
      <c r="C287" s="4" t="s">
        <v>6</v>
      </c>
      <c r="D287" s="6">
        <v>1</v>
      </c>
      <c r="E287" s="4" t="s">
        <v>120</v>
      </c>
      <c r="F287" s="6" t="s">
        <v>17</v>
      </c>
      <c r="G287" s="5" t="s">
        <v>442</v>
      </c>
      <c r="H287" s="7"/>
      <c r="I287" s="7"/>
    </row>
    <row r="288" spans="1:9" x14ac:dyDescent="0.25">
      <c r="A288" s="4" t="str">
        <f>"72306"</f>
        <v>72306</v>
      </c>
      <c r="B288" s="5">
        <v>20</v>
      </c>
      <c r="C288" s="4" t="s">
        <v>6</v>
      </c>
      <c r="D288" s="6">
        <v>1</v>
      </c>
      <c r="E288" s="4" t="s">
        <v>120</v>
      </c>
      <c r="F288" s="6" t="s">
        <v>17</v>
      </c>
      <c r="G288" s="5" t="s">
        <v>443</v>
      </c>
      <c r="H288" s="7"/>
      <c r="I288" s="7"/>
    </row>
    <row r="289" spans="1:9" x14ac:dyDescent="0.25">
      <c r="A289" s="4" t="str">
        <f>"72311"</f>
        <v>72311</v>
      </c>
      <c r="B289" s="5">
        <v>20</v>
      </c>
      <c r="C289" s="4" t="s">
        <v>6</v>
      </c>
      <c r="D289" s="6">
        <v>1</v>
      </c>
      <c r="E289" s="4" t="s">
        <v>120</v>
      </c>
      <c r="F289" s="6" t="s">
        <v>17</v>
      </c>
      <c r="G289" s="5" t="s">
        <v>444</v>
      </c>
      <c r="H289" s="7"/>
      <c r="I289" s="7"/>
    </row>
    <row r="290" spans="1:9" x14ac:dyDescent="0.25">
      <c r="A290" s="4" t="str">
        <f>"73045"</f>
        <v>73045</v>
      </c>
      <c r="B290" s="5">
        <v>1</v>
      </c>
      <c r="C290" s="4" t="s">
        <v>8</v>
      </c>
      <c r="D290" s="6">
        <v>4</v>
      </c>
      <c r="E290" s="4" t="s">
        <v>198</v>
      </c>
      <c r="F290" s="6" t="s">
        <v>445</v>
      </c>
      <c r="G290" s="5" t="s">
        <v>446</v>
      </c>
      <c r="H290" s="7"/>
      <c r="I290" s="7"/>
    </row>
    <row r="291" spans="1:9" ht="30" x14ac:dyDescent="0.25">
      <c r="A291" s="4"/>
      <c r="B291" s="5"/>
      <c r="C291" s="4"/>
      <c r="D291" s="6" t="s">
        <v>886</v>
      </c>
      <c r="E291" s="4"/>
      <c r="F291" s="6"/>
      <c r="G291" s="5" t="s">
        <v>826</v>
      </c>
      <c r="H291" s="7"/>
      <c r="I291" s="7"/>
    </row>
    <row r="292" spans="1:9" ht="30" x14ac:dyDescent="0.25">
      <c r="A292" s="4" t="str">
        <f>"76035"</f>
        <v>76035</v>
      </c>
      <c r="B292" s="5">
        <v>2</v>
      </c>
      <c r="C292" s="4" t="s">
        <v>8</v>
      </c>
      <c r="D292" s="6">
        <v>4</v>
      </c>
      <c r="E292" s="4" t="s">
        <v>200</v>
      </c>
      <c r="F292" s="6" t="s">
        <v>447</v>
      </c>
      <c r="G292" s="5" t="s">
        <v>448</v>
      </c>
      <c r="H292" s="7"/>
      <c r="I292" s="7"/>
    </row>
    <row r="293" spans="1:9" ht="30" x14ac:dyDescent="0.25">
      <c r="A293" s="4"/>
      <c r="B293" s="5"/>
      <c r="C293" s="4"/>
      <c r="D293" s="6" t="s">
        <v>886</v>
      </c>
      <c r="E293" s="4"/>
      <c r="F293" s="6"/>
      <c r="G293" s="5" t="s">
        <v>827</v>
      </c>
      <c r="H293" s="7"/>
      <c r="I293" s="7"/>
    </row>
    <row r="294" spans="1:9" ht="30" x14ac:dyDescent="0.25">
      <c r="A294" s="4" t="str">
        <f>"76320"</f>
        <v>76320</v>
      </c>
      <c r="B294" s="5">
        <v>2</v>
      </c>
      <c r="C294" s="4" t="s">
        <v>8</v>
      </c>
      <c r="D294" s="6">
        <v>4</v>
      </c>
      <c r="E294" s="4" t="s">
        <v>200</v>
      </c>
      <c r="F294" s="6" t="s">
        <v>447</v>
      </c>
      <c r="G294" s="5" t="s">
        <v>449</v>
      </c>
      <c r="H294" s="7"/>
      <c r="I294" s="7"/>
    </row>
    <row r="295" spans="1:9" ht="30" x14ac:dyDescent="0.25">
      <c r="A295" s="4"/>
      <c r="B295" s="5"/>
      <c r="C295" s="4"/>
      <c r="D295" s="6" t="s">
        <v>886</v>
      </c>
      <c r="E295" s="4"/>
      <c r="F295" s="6"/>
      <c r="G295" s="5" t="s">
        <v>828</v>
      </c>
      <c r="H295" s="7"/>
      <c r="I295" s="7"/>
    </row>
    <row r="296" spans="1:9" x14ac:dyDescent="0.25">
      <c r="A296" s="4" t="str">
        <f>"78769"</f>
        <v>78769</v>
      </c>
      <c r="B296" s="5">
        <v>4</v>
      </c>
      <c r="C296" s="4" t="s">
        <v>6</v>
      </c>
      <c r="D296" s="6">
        <v>8</v>
      </c>
      <c r="E296" s="4" t="s">
        <v>327</v>
      </c>
      <c r="F296" s="6" t="s">
        <v>450</v>
      </c>
      <c r="G296" s="5" t="s">
        <v>451</v>
      </c>
      <c r="H296" s="7"/>
      <c r="I296" s="7"/>
    </row>
    <row r="297" spans="1:9" x14ac:dyDescent="0.25">
      <c r="A297" s="4" t="str">
        <f>"80354"</f>
        <v>80354</v>
      </c>
      <c r="B297" s="5">
        <v>4</v>
      </c>
      <c r="C297" s="4" t="s">
        <v>6</v>
      </c>
      <c r="D297" s="6">
        <v>1</v>
      </c>
      <c r="E297" s="4" t="s">
        <v>89</v>
      </c>
      <c r="F297" s="6" t="s">
        <v>10</v>
      </c>
      <c r="G297" s="5" t="s">
        <v>452</v>
      </c>
      <c r="H297" s="7"/>
      <c r="I297" s="7"/>
    </row>
    <row r="298" spans="1:9" ht="30" x14ac:dyDescent="0.25">
      <c r="A298" s="4" t="str">
        <f>"82218"</f>
        <v>82218</v>
      </c>
      <c r="B298" s="5">
        <v>8</v>
      </c>
      <c r="C298" s="4" t="s">
        <v>6</v>
      </c>
      <c r="D298" s="6">
        <v>6</v>
      </c>
      <c r="E298" s="4" t="s">
        <v>67</v>
      </c>
      <c r="F298" s="6" t="s">
        <v>453</v>
      </c>
      <c r="G298" s="5" t="s">
        <v>454</v>
      </c>
      <c r="H298" s="7"/>
      <c r="I298" s="7"/>
    </row>
    <row r="299" spans="1:9" x14ac:dyDescent="0.25">
      <c r="A299" s="4" t="str">
        <f>"83430"</f>
        <v>83430</v>
      </c>
      <c r="B299" s="5">
        <v>1</v>
      </c>
      <c r="C299" s="4" t="s">
        <v>8</v>
      </c>
      <c r="D299" s="6">
        <v>6</v>
      </c>
      <c r="E299" s="4" t="s">
        <v>304</v>
      </c>
      <c r="F299" s="6" t="s">
        <v>455</v>
      </c>
      <c r="G299" s="5" t="s">
        <v>456</v>
      </c>
      <c r="H299" s="7"/>
      <c r="I299" s="7"/>
    </row>
    <row r="300" spans="1:9" ht="30" x14ac:dyDescent="0.25">
      <c r="A300" s="4"/>
      <c r="B300" s="5"/>
      <c r="C300" s="4"/>
      <c r="D300" s="6" t="s">
        <v>886</v>
      </c>
      <c r="E300" s="4"/>
      <c r="F300" s="6"/>
      <c r="G300" s="5" t="s">
        <v>829</v>
      </c>
      <c r="H300" s="7"/>
      <c r="I300" s="7"/>
    </row>
    <row r="301" spans="1:9" x14ac:dyDescent="0.25">
      <c r="A301" s="4" t="str">
        <f>"83890"</f>
        <v>83890</v>
      </c>
      <c r="B301" s="5">
        <v>1</v>
      </c>
      <c r="C301" s="4" t="s">
        <v>8</v>
      </c>
      <c r="D301" s="6">
        <v>6</v>
      </c>
      <c r="E301" s="4" t="s">
        <v>457</v>
      </c>
      <c r="F301" s="6" t="s">
        <v>455</v>
      </c>
      <c r="G301" s="5" t="s">
        <v>458</v>
      </c>
      <c r="H301" s="7"/>
      <c r="I301" s="7"/>
    </row>
    <row r="302" spans="1:9" ht="30" x14ac:dyDescent="0.25">
      <c r="A302" s="4"/>
      <c r="B302" s="5"/>
      <c r="C302" s="4"/>
      <c r="D302" s="6" t="s">
        <v>886</v>
      </c>
      <c r="E302" s="4"/>
      <c r="F302" s="6"/>
      <c r="G302" s="5" t="s">
        <v>830</v>
      </c>
      <c r="H302" s="7"/>
      <c r="I302" s="7"/>
    </row>
    <row r="303" spans="1:9" x14ac:dyDescent="0.25">
      <c r="A303" s="4" t="str">
        <f>"83900"</f>
        <v>83900</v>
      </c>
      <c r="B303" s="5">
        <v>1</v>
      </c>
      <c r="C303" s="4" t="s">
        <v>8</v>
      </c>
      <c r="D303" s="6">
        <v>6</v>
      </c>
      <c r="E303" s="4" t="s">
        <v>459</v>
      </c>
      <c r="F303" s="6" t="s">
        <v>455</v>
      </c>
      <c r="G303" s="5" t="s">
        <v>460</v>
      </c>
      <c r="H303" s="7"/>
      <c r="I303" s="7"/>
    </row>
    <row r="304" spans="1:9" ht="30" x14ac:dyDescent="0.25">
      <c r="A304" s="4"/>
      <c r="B304" s="5"/>
      <c r="C304" s="4"/>
      <c r="D304" s="6" t="s">
        <v>886</v>
      </c>
      <c r="E304" s="4"/>
      <c r="F304" s="6"/>
      <c r="G304" s="5" t="s">
        <v>831</v>
      </c>
      <c r="H304" s="7"/>
      <c r="I304" s="7"/>
    </row>
    <row r="305" spans="1:9" x14ac:dyDescent="0.25">
      <c r="A305" s="4" t="str">
        <f>"83919"</f>
        <v>83919</v>
      </c>
      <c r="B305" s="5">
        <v>1</v>
      </c>
      <c r="C305" s="4" t="s">
        <v>8</v>
      </c>
      <c r="D305" s="6">
        <v>6</v>
      </c>
      <c r="E305" s="4" t="s">
        <v>461</v>
      </c>
      <c r="F305" s="6" t="s">
        <v>455</v>
      </c>
      <c r="G305" s="5" t="s">
        <v>462</v>
      </c>
      <c r="H305" s="7"/>
      <c r="I305" s="7"/>
    </row>
    <row r="306" spans="1:9" ht="30" x14ac:dyDescent="0.25">
      <c r="A306" s="4"/>
      <c r="B306" s="5"/>
      <c r="C306" s="4"/>
      <c r="D306" s="6" t="s">
        <v>886</v>
      </c>
      <c r="E306" s="4"/>
      <c r="F306" s="6"/>
      <c r="G306" s="5" t="s">
        <v>832</v>
      </c>
      <c r="H306" s="7"/>
      <c r="I306" s="7"/>
    </row>
    <row r="307" spans="1:9" x14ac:dyDescent="0.25">
      <c r="A307" s="4" t="str">
        <f>"84880"</f>
        <v>84880</v>
      </c>
      <c r="B307" s="5">
        <v>1</v>
      </c>
      <c r="C307" s="4" t="s">
        <v>8</v>
      </c>
      <c r="D307" s="6">
        <v>6</v>
      </c>
      <c r="E307" s="4" t="s">
        <v>463</v>
      </c>
      <c r="F307" s="6" t="s">
        <v>455</v>
      </c>
      <c r="G307" s="5" t="s">
        <v>464</v>
      </c>
      <c r="H307" s="7"/>
      <c r="I307" s="7"/>
    </row>
    <row r="308" spans="1:9" ht="30" x14ac:dyDescent="0.25">
      <c r="A308" s="4"/>
      <c r="B308" s="5"/>
      <c r="C308" s="4"/>
      <c r="D308" s="6" t="s">
        <v>886</v>
      </c>
      <c r="E308" s="4"/>
      <c r="F308" s="6"/>
      <c r="G308" s="5" t="s">
        <v>833</v>
      </c>
      <c r="H308" s="7"/>
      <c r="I308" s="7"/>
    </row>
    <row r="309" spans="1:9" ht="30" x14ac:dyDescent="0.25">
      <c r="A309" s="4" t="str">
        <f>"85077"</f>
        <v>85077</v>
      </c>
      <c r="B309" s="5">
        <v>1</v>
      </c>
      <c r="C309" s="4" t="s">
        <v>8</v>
      </c>
      <c r="D309" s="6">
        <v>6</v>
      </c>
      <c r="E309" s="4" t="s">
        <v>465</v>
      </c>
      <c r="F309" s="6" t="s">
        <v>455</v>
      </c>
      <c r="G309" s="5" t="s">
        <v>466</v>
      </c>
      <c r="H309" s="7"/>
      <c r="I309" s="7"/>
    </row>
    <row r="310" spans="1:9" ht="30" x14ac:dyDescent="0.25">
      <c r="A310" s="4"/>
      <c r="B310" s="5"/>
      <c r="C310" s="4"/>
      <c r="D310" s="6" t="s">
        <v>886</v>
      </c>
      <c r="E310" s="4"/>
      <c r="F310" s="6"/>
      <c r="G310" s="5" t="s">
        <v>834</v>
      </c>
      <c r="H310" s="7"/>
      <c r="I310" s="7"/>
    </row>
    <row r="311" spans="1:9" ht="30" x14ac:dyDescent="0.25">
      <c r="A311" s="4" t="str">
        <f>"85365"</f>
        <v>85365</v>
      </c>
      <c r="B311" s="5">
        <v>2</v>
      </c>
      <c r="C311" s="4" t="s">
        <v>8</v>
      </c>
      <c r="D311" s="6">
        <v>6</v>
      </c>
      <c r="E311" s="4" t="s">
        <v>463</v>
      </c>
      <c r="F311" s="6" t="s">
        <v>455</v>
      </c>
      <c r="G311" s="5" t="s">
        <v>467</v>
      </c>
      <c r="H311" s="7"/>
      <c r="I311" s="7"/>
    </row>
    <row r="312" spans="1:9" ht="30" x14ac:dyDescent="0.25">
      <c r="A312" s="4"/>
      <c r="B312" s="5"/>
      <c r="C312" s="4"/>
      <c r="D312" s="6" t="s">
        <v>886</v>
      </c>
      <c r="E312" s="4"/>
      <c r="F312" s="6"/>
      <c r="G312" s="5" t="s">
        <v>835</v>
      </c>
      <c r="H312" s="7"/>
      <c r="I312" s="7"/>
    </row>
    <row r="313" spans="1:9" ht="30" x14ac:dyDescent="0.25">
      <c r="A313" s="4" t="str">
        <f>"85577"</f>
        <v>85577</v>
      </c>
      <c r="B313" s="5">
        <v>3</v>
      </c>
      <c r="C313" s="4" t="s">
        <v>8</v>
      </c>
      <c r="D313" s="6">
        <v>6</v>
      </c>
      <c r="E313" s="4" t="s">
        <v>200</v>
      </c>
      <c r="F313" s="6" t="s">
        <v>468</v>
      </c>
      <c r="G313" s="5" t="s">
        <v>469</v>
      </c>
      <c r="H313" s="7"/>
      <c r="I313" s="7"/>
    </row>
    <row r="314" spans="1:9" ht="30" x14ac:dyDescent="0.25">
      <c r="A314" s="4"/>
      <c r="B314" s="5"/>
      <c r="C314" s="4"/>
      <c r="D314" s="6" t="s">
        <v>886</v>
      </c>
      <c r="E314" s="4"/>
      <c r="F314" s="6"/>
      <c r="G314" s="5" t="s">
        <v>836</v>
      </c>
      <c r="H314" s="7"/>
      <c r="I314" s="7"/>
    </row>
    <row r="315" spans="1:9" ht="30" x14ac:dyDescent="0.25">
      <c r="A315" s="4" t="str">
        <f>"85785"</f>
        <v>85785</v>
      </c>
      <c r="B315" s="5">
        <v>2</v>
      </c>
      <c r="C315" s="4" t="s">
        <v>8</v>
      </c>
      <c r="D315" s="6">
        <v>4</v>
      </c>
      <c r="E315" s="4" t="s">
        <v>198</v>
      </c>
      <c r="F315" s="6" t="s">
        <v>470</v>
      </c>
      <c r="G315" s="5" t="s">
        <v>471</v>
      </c>
      <c r="H315" s="7"/>
      <c r="I315" s="7"/>
    </row>
    <row r="316" spans="1:9" ht="30" x14ac:dyDescent="0.25">
      <c r="A316" s="4"/>
      <c r="B316" s="5"/>
      <c r="C316" s="4"/>
      <c r="D316" s="6" t="s">
        <v>886</v>
      </c>
      <c r="E316" s="4"/>
      <c r="F316" s="6"/>
      <c r="G316" s="5" t="s">
        <v>837</v>
      </c>
      <c r="H316" s="7"/>
      <c r="I316" s="7"/>
    </row>
    <row r="317" spans="1:9" ht="30" x14ac:dyDescent="0.25">
      <c r="A317" s="4" t="str">
        <f>"86145"</f>
        <v>86145</v>
      </c>
      <c r="B317" s="5">
        <v>1</v>
      </c>
      <c r="C317" s="4" t="s">
        <v>8</v>
      </c>
      <c r="D317" s="6">
        <v>6</v>
      </c>
      <c r="E317" s="4" t="s">
        <v>7</v>
      </c>
      <c r="F317" s="6" t="s">
        <v>472</v>
      </c>
      <c r="G317" s="5" t="s">
        <v>473</v>
      </c>
      <c r="H317" s="7"/>
      <c r="I317" s="7"/>
    </row>
    <row r="318" spans="1:9" ht="30" x14ac:dyDescent="0.25">
      <c r="A318" s="4"/>
      <c r="B318" s="5"/>
      <c r="C318" s="4"/>
      <c r="D318" s="6" t="s">
        <v>886</v>
      </c>
      <c r="E318" s="4"/>
      <c r="F318" s="6"/>
      <c r="G318" s="5" t="s">
        <v>838</v>
      </c>
      <c r="H318" s="7"/>
      <c r="I318" s="7"/>
    </row>
    <row r="319" spans="1:9" x14ac:dyDescent="0.25">
      <c r="A319" s="4" t="str">
        <f>"86179"</f>
        <v>86179</v>
      </c>
      <c r="B319" s="5">
        <v>1</v>
      </c>
      <c r="C319" s="4" t="s">
        <v>6</v>
      </c>
      <c r="D319" s="6">
        <v>24</v>
      </c>
      <c r="E319" s="4" t="s">
        <v>21</v>
      </c>
      <c r="F319" s="6" t="s">
        <v>474</v>
      </c>
      <c r="G319" s="5" t="s">
        <v>475</v>
      </c>
      <c r="H319" s="7"/>
      <c r="I319" s="7"/>
    </row>
    <row r="320" spans="1:9" x14ac:dyDescent="0.25">
      <c r="A320" s="4" t="str">
        <f>"86486"</f>
        <v>86486</v>
      </c>
      <c r="B320" s="5">
        <v>8</v>
      </c>
      <c r="C320" s="4" t="s">
        <v>6</v>
      </c>
      <c r="D320" s="6">
        <v>1</v>
      </c>
      <c r="E320" s="4" t="s">
        <v>31</v>
      </c>
      <c r="F320" s="6" t="s">
        <v>134</v>
      </c>
      <c r="G320" s="5" t="s">
        <v>476</v>
      </c>
      <c r="H320" s="7"/>
      <c r="I320" s="7"/>
    </row>
    <row r="321" spans="1:9" x14ac:dyDescent="0.25">
      <c r="A321" s="4" t="str">
        <f>"86503"</f>
        <v>86503</v>
      </c>
      <c r="B321" s="5">
        <v>4</v>
      </c>
      <c r="C321" s="4" t="s">
        <v>6</v>
      </c>
      <c r="D321" s="6">
        <v>1</v>
      </c>
      <c r="E321" s="4" t="s">
        <v>133</v>
      </c>
      <c r="F321" s="6" t="s">
        <v>134</v>
      </c>
      <c r="G321" s="5" t="s">
        <v>477</v>
      </c>
      <c r="H321" s="7"/>
      <c r="I321" s="7"/>
    </row>
    <row r="322" spans="1:9" x14ac:dyDescent="0.25">
      <c r="A322" s="4" t="str">
        <f>"87045"</f>
        <v>87045</v>
      </c>
      <c r="B322" s="5">
        <v>20</v>
      </c>
      <c r="C322" s="4" t="s">
        <v>6</v>
      </c>
      <c r="D322" s="6">
        <v>1</v>
      </c>
      <c r="E322" s="4" t="s">
        <v>133</v>
      </c>
      <c r="F322" s="6" t="s">
        <v>136</v>
      </c>
      <c r="G322" s="5" t="s">
        <v>478</v>
      </c>
      <c r="H322" s="7"/>
      <c r="I322" s="7"/>
    </row>
    <row r="323" spans="1:9" ht="30" x14ac:dyDescent="0.25">
      <c r="A323" s="4" t="str">
        <f>"87180"</f>
        <v>87180</v>
      </c>
      <c r="B323" s="5">
        <v>5</v>
      </c>
      <c r="C323" s="4" t="s">
        <v>6</v>
      </c>
      <c r="D323" s="6">
        <v>24</v>
      </c>
      <c r="E323" s="4" t="s">
        <v>21</v>
      </c>
      <c r="F323" s="6" t="s">
        <v>136</v>
      </c>
      <c r="G323" s="5" t="s">
        <v>479</v>
      </c>
      <c r="H323" s="7"/>
      <c r="I323" s="7"/>
    </row>
    <row r="324" spans="1:9" ht="30" x14ac:dyDescent="0.25">
      <c r="A324" s="4" t="str">
        <f>"87475"</f>
        <v>87475</v>
      </c>
      <c r="B324" s="5">
        <v>1</v>
      </c>
      <c r="C324" s="4" t="s">
        <v>8</v>
      </c>
      <c r="D324" s="6">
        <v>12</v>
      </c>
      <c r="E324" s="4" t="s">
        <v>67</v>
      </c>
      <c r="F324" s="6" t="s">
        <v>480</v>
      </c>
      <c r="G324" s="5" t="s">
        <v>481</v>
      </c>
      <c r="H324" s="7"/>
      <c r="I324" s="7"/>
    </row>
    <row r="325" spans="1:9" ht="30" x14ac:dyDescent="0.25">
      <c r="A325" s="4"/>
      <c r="B325" s="5"/>
      <c r="C325" s="4"/>
      <c r="D325" s="6" t="s">
        <v>886</v>
      </c>
      <c r="E325" s="4"/>
      <c r="F325" s="6"/>
      <c r="G325" s="5" t="s">
        <v>839</v>
      </c>
      <c r="H325" s="7"/>
      <c r="I325" s="7"/>
    </row>
    <row r="326" spans="1:9" ht="30" x14ac:dyDescent="0.25">
      <c r="A326" s="4" t="str">
        <f>"87524"</f>
        <v>87524</v>
      </c>
      <c r="B326" s="5">
        <v>1</v>
      </c>
      <c r="C326" s="4" t="s">
        <v>8</v>
      </c>
      <c r="D326" s="6">
        <v>6</v>
      </c>
      <c r="E326" s="4">
        <v>10</v>
      </c>
      <c r="F326" s="6" t="s">
        <v>139</v>
      </c>
      <c r="G326" s="5" t="s">
        <v>482</v>
      </c>
      <c r="H326" s="7"/>
      <c r="I326" s="7"/>
    </row>
    <row r="327" spans="1:9" ht="30" x14ac:dyDescent="0.25">
      <c r="A327" s="4"/>
      <c r="B327" s="5"/>
      <c r="C327" s="4"/>
      <c r="D327" s="6" t="s">
        <v>886</v>
      </c>
      <c r="E327" s="4"/>
      <c r="F327" s="6"/>
      <c r="G327" s="5" t="s">
        <v>840</v>
      </c>
      <c r="H327" s="7"/>
      <c r="I327" s="7"/>
    </row>
    <row r="328" spans="1:9" ht="30" x14ac:dyDescent="0.25">
      <c r="A328" s="4" t="str">
        <f>"87526"</f>
        <v>87526</v>
      </c>
      <c r="B328" s="5">
        <v>2</v>
      </c>
      <c r="C328" s="4" t="s">
        <v>6</v>
      </c>
      <c r="D328" s="6">
        <v>1</v>
      </c>
      <c r="E328" s="4" t="s">
        <v>316</v>
      </c>
      <c r="F328" s="6" t="s">
        <v>139</v>
      </c>
      <c r="G328" s="5" t="s">
        <v>483</v>
      </c>
      <c r="H328" s="7"/>
      <c r="I328" s="7"/>
    </row>
    <row r="329" spans="1:9" ht="30" x14ac:dyDescent="0.25">
      <c r="A329" s="4" t="str">
        <f>"87622"</f>
        <v>87622</v>
      </c>
      <c r="B329" s="5">
        <v>1</v>
      </c>
      <c r="C329" s="4" t="s">
        <v>6</v>
      </c>
      <c r="D329" s="6">
        <v>16</v>
      </c>
      <c r="E329" s="4" t="s">
        <v>484</v>
      </c>
      <c r="F329" s="6" t="s">
        <v>139</v>
      </c>
      <c r="G329" s="5" t="s">
        <v>485</v>
      </c>
      <c r="H329" s="7"/>
      <c r="I329" s="7"/>
    </row>
    <row r="330" spans="1:9" x14ac:dyDescent="0.25">
      <c r="A330" s="4" t="str">
        <f>"88110"</f>
        <v>88110</v>
      </c>
      <c r="B330" s="5">
        <v>6</v>
      </c>
      <c r="C330" s="4" t="s">
        <v>6</v>
      </c>
      <c r="D330" s="6">
        <v>6</v>
      </c>
      <c r="E330" s="6">
        <v>10</v>
      </c>
      <c r="F330" s="6" t="s">
        <v>486</v>
      </c>
      <c r="G330" s="5" t="s">
        <v>487</v>
      </c>
      <c r="H330" s="7"/>
      <c r="I330" s="7"/>
    </row>
    <row r="331" spans="1:9" x14ac:dyDescent="0.25">
      <c r="A331" s="4" t="str">
        <f>"94639"</f>
        <v>94639</v>
      </c>
      <c r="B331" s="5">
        <v>5</v>
      </c>
      <c r="C331" s="4" t="s">
        <v>8</v>
      </c>
      <c r="D331" s="6">
        <v>2</v>
      </c>
      <c r="E331" s="4" t="s">
        <v>89</v>
      </c>
      <c r="F331" s="6" t="s">
        <v>488</v>
      </c>
      <c r="G331" s="5" t="s">
        <v>489</v>
      </c>
      <c r="H331" s="7"/>
      <c r="I331" s="7"/>
    </row>
    <row r="332" spans="1:9" x14ac:dyDescent="0.25">
      <c r="A332" s="4"/>
      <c r="B332" s="5"/>
      <c r="C332" s="4"/>
      <c r="D332" s="6" t="s">
        <v>886</v>
      </c>
      <c r="E332" s="4"/>
      <c r="F332" s="6"/>
      <c r="G332" s="5" t="s">
        <v>841</v>
      </c>
      <c r="H332" s="7"/>
      <c r="I332" s="7"/>
    </row>
    <row r="333" spans="1:9" ht="30" x14ac:dyDescent="0.25">
      <c r="A333" s="4" t="str">
        <f>"94730"</f>
        <v>94730</v>
      </c>
      <c r="B333" s="5">
        <v>2</v>
      </c>
      <c r="C333" s="4" t="s">
        <v>6</v>
      </c>
      <c r="D333" s="6">
        <v>12</v>
      </c>
      <c r="E333" s="4" t="s">
        <v>490</v>
      </c>
      <c r="F333" s="6" t="s">
        <v>491</v>
      </c>
      <c r="G333" s="5" t="s">
        <v>492</v>
      </c>
      <c r="H333" s="7"/>
      <c r="I333" s="7"/>
    </row>
    <row r="334" spans="1:9" x14ac:dyDescent="0.25">
      <c r="A334" s="4" t="str">
        <f>"95201"</f>
        <v>95201</v>
      </c>
      <c r="B334" s="5">
        <v>1</v>
      </c>
      <c r="C334" s="4" t="s">
        <v>6</v>
      </c>
      <c r="D334" s="6">
        <v>12</v>
      </c>
      <c r="E334" s="4" t="s">
        <v>67</v>
      </c>
      <c r="F334" s="6" t="s">
        <v>145</v>
      </c>
      <c r="G334" s="5" t="s">
        <v>493</v>
      </c>
      <c r="H334" s="7"/>
      <c r="I334" s="7"/>
    </row>
    <row r="335" spans="1:9" x14ac:dyDescent="0.25">
      <c r="A335" s="4" t="str">
        <f>"95426"</f>
        <v>95426</v>
      </c>
      <c r="B335" s="5">
        <v>2</v>
      </c>
      <c r="C335" s="4" t="s">
        <v>6</v>
      </c>
      <c r="D335" s="6">
        <v>12</v>
      </c>
      <c r="E335" s="4" t="s">
        <v>67</v>
      </c>
      <c r="F335" s="6" t="s">
        <v>145</v>
      </c>
      <c r="G335" s="5" t="s">
        <v>494</v>
      </c>
      <c r="H335" s="7"/>
      <c r="I335" s="7"/>
    </row>
    <row r="336" spans="1:9" x14ac:dyDescent="0.25">
      <c r="A336" s="4" t="str">
        <f>"96468"</f>
        <v>96468</v>
      </c>
      <c r="B336" s="5">
        <v>1</v>
      </c>
      <c r="C336" s="4" t="s">
        <v>6</v>
      </c>
      <c r="D336" s="6">
        <v>1</v>
      </c>
      <c r="E336" s="4" t="s">
        <v>31</v>
      </c>
      <c r="F336" s="6" t="s">
        <v>495</v>
      </c>
      <c r="G336" s="5" t="s">
        <v>496</v>
      </c>
      <c r="H336" s="7"/>
      <c r="I336" s="7"/>
    </row>
    <row r="337" spans="1:9" x14ac:dyDescent="0.25">
      <c r="A337" s="4" t="str">
        <f>"96805"</f>
        <v>96805</v>
      </c>
      <c r="B337" s="5">
        <v>8</v>
      </c>
      <c r="C337" s="4" t="s">
        <v>6</v>
      </c>
      <c r="D337" s="6">
        <v>6</v>
      </c>
      <c r="E337" s="4" t="s">
        <v>7</v>
      </c>
      <c r="F337" s="6"/>
      <c r="G337" s="5" t="s">
        <v>497</v>
      </c>
      <c r="H337" s="7"/>
      <c r="I337" s="7"/>
    </row>
    <row r="338" spans="1:9" ht="30" x14ac:dyDescent="0.25">
      <c r="A338" s="4" t="str">
        <f>"98414"</f>
        <v>98414</v>
      </c>
      <c r="B338" s="5">
        <v>6</v>
      </c>
      <c r="C338" s="4" t="s">
        <v>8</v>
      </c>
      <c r="D338" s="6">
        <v>12</v>
      </c>
      <c r="E338" s="4" t="s">
        <v>25</v>
      </c>
      <c r="F338" s="6" t="s">
        <v>498</v>
      </c>
      <c r="G338" s="5" t="s">
        <v>499</v>
      </c>
      <c r="H338" s="7"/>
      <c r="I338" s="7"/>
    </row>
    <row r="339" spans="1:9" ht="30" x14ac:dyDescent="0.25">
      <c r="A339" s="4"/>
      <c r="B339" s="5"/>
      <c r="C339" s="4"/>
      <c r="D339" s="6" t="s">
        <v>886</v>
      </c>
      <c r="E339" s="4"/>
      <c r="F339" s="6"/>
      <c r="G339" s="5" t="s">
        <v>842</v>
      </c>
      <c r="H339" s="7"/>
      <c r="I339" s="7"/>
    </row>
    <row r="340" spans="1:9" ht="30" x14ac:dyDescent="0.25">
      <c r="A340" s="4" t="str">
        <f>"325"</f>
        <v>325</v>
      </c>
      <c r="B340" s="5">
        <v>5</v>
      </c>
      <c r="C340" s="4" t="s">
        <v>6</v>
      </c>
      <c r="D340" s="6">
        <v>8</v>
      </c>
      <c r="E340" s="4" t="s">
        <v>500</v>
      </c>
      <c r="F340" s="6" t="s">
        <v>187</v>
      </c>
      <c r="G340" s="5" t="s">
        <v>501</v>
      </c>
      <c r="H340" s="7"/>
      <c r="I340" s="7"/>
    </row>
    <row r="341" spans="1:9" ht="30" x14ac:dyDescent="0.25">
      <c r="A341" s="4" t="str">
        <f>"2618"</f>
        <v>2618</v>
      </c>
      <c r="B341" s="5">
        <v>4</v>
      </c>
      <c r="C341" s="4" t="s">
        <v>6</v>
      </c>
      <c r="D341" s="6">
        <v>20</v>
      </c>
      <c r="E341" s="4" t="s">
        <v>221</v>
      </c>
      <c r="F341" s="6" t="s">
        <v>185</v>
      </c>
      <c r="G341" s="5" t="s">
        <v>502</v>
      </c>
      <c r="H341" s="7"/>
      <c r="I341" s="7"/>
    </row>
    <row r="342" spans="1:9" ht="30" x14ac:dyDescent="0.25">
      <c r="A342" s="4" t="str">
        <f>"2842"</f>
        <v>2842</v>
      </c>
      <c r="B342" s="5">
        <v>1</v>
      </c>
      <c r="C342" s="4" t="s">
        <v>6</v>
      </c>
      <c r="D342" s="6">
        <v>96</v>
      </c>
      <c r="E342" s="4" t="s">
        <v>184</v>
      </c>
      <c r="F342" s="6" t="s">
        <v>503</v>
      </c>
      <c r="G342" s="5" t="s">
        <v>504</v>
      </c>
      <c r="H342" s="7"/>
      <c r="I342" s="7"/>
    </row>
    <row r="343" spans="1:9" ht="30" x14ac:dyDescent="0.25">
      <c r="A343" s="4" t="str">
        <f>"2843"</f>
        <v>2843</v>
      </c>
      <c r="B343" s="5">
        <v>1</v>
      </c>
      <c r="C343" s="4" t="s">
        <v>6</v>
      </c>
      <c r="D343" s="6">
        <v>48</v>
      </c>
      <c r="E343" s="4" t="s">
        <v>120</v>
      </c>
      <c r="F343" s="6" t="s">
        <v>503</v>
      </c>
      <c r="G343" s="5" t="s">
        <v>505</v>
      </c>
      <c r="H343" s="7"/>
      <c r="I343" s="7"/>
    </row>
    <row r="344" spans="1:9" ht="30" x14ac:dyDescent="0.25">
      <c r="A344" s="4" t="str">
        <f>"2844"</f>
        <v>2844</v>
      </c>
      <c r="B344" s="5">
        <v>1</v>
      </c>
      <c r="C344" s="4" t="s">
        <v>6</v>
      </c>
      <c r="D344" s="6">
        <v>48</v>
      </c>
      <c r="E344" s="4" t="s">
        <v>120</v>
      </c>
      <c r="F344" s="6" t="s">
        <v>503</v>
      </c>
      <c r="G344" s="5" t="s">
        <v>506</v>
      </c>
      <c r="H344" s="7"/>
      <c r="I344" s="7"/>
    </row>
    <row r="345" spans="1:9" ht="30" x14ac:dyDescent="0.25">
      <c r="A345" s="4" t="str">
        <f>"2845"</f>
        <v>2845</v>
      </c>
      <c r="B345" s="5">
        <v>1</v>
      </c>
      <c r="C345" s="4" t="s">
        <v>6</v>
      </c>
      <c r="D345" s="6">
        <v>48</v>
      </c>
      <c r="E345" s="4" t="s">
        <v>120</v>
      </c>
      <c r="F345" s="6" t="s">
        <v>503</v>
      </c>
      <c r="G345" s="5" t="s">
        <v>507</v>
      </c>
      <c r="H345" s="7"/>
      <c r="I345" s="7"/>
    </row>
    <row r="346" spans="1:9" ht="30" x14ac:dyDescent="0.25">
      <c r="A346" s="4" t="str">
        <f>"4494"</f>
        <v>4494</v>
      </c>
      <c r="B346" s="5">
        <v>2</v>
      </c>
      <c r="C346" s="4" t="s">
        <v>6</v>
      </c>
      <c r="D346" s="6">
        <v>4</v>
      </c>
      <c r="E346" s="4" t="s">
        <v>108</v>
      </c>
      <c r="F346" s="6" t="s">
        <v>508</v>
      </c>
      <c r="G346" s="5" t="s">
        <v>509</v>
      </c>
      <c r="H346" s="7"/>
      <c r="I346" s="7"/>
    </row>
    <row r="347" spans="1:9" ht="30" x14ac:dyDescent="0.25">
      <c r="A347" s="4" t="str">
        <f>"4697"</f>
        <v>4697</v>
      </c>
      <c r="B347" s="5">
        <v>1</v>
      </c>
      <c r="C347" s="4" t="s">
        <v>6</v>
      </c>
      <c r="D347" s="6">
        <v>96</v>
      </c>
      <c r="E347" s="4" t="s">
        <v>510</v>
      </c>
      <c r="F347" s="6" t="s">
        <v>511</v>
      </c>
      <c r="G347" s="5" t="s">
        <v>512</v>
      </c>
      <c r="H347" s="7"/>
      <c r="I347" s="7"/>
    </row>
    <row r="348" spans="1:9" ht="30" x14ac:dyDescent="0.25">
      <c r="A348" s="4" t="str">
        <f>"4720"</f>
        <v>4720</v>
      </c>
      <c r="B348" s="5">
        <v>5</v>
      </c>
      <c r="C348" s="4" t="s">
        <v>6</v>
      </c>
      <c r="D348" s="6">
        <v>144</v>
      </c>
      <c r="E348" s="4" t="s">
        <v>513</v>
      </c>
      <c r="F348" s="6" t="s">
        <v>514</v>
      </c>
      <c r="G348" s="5" t="s">
        <v>515</v>
      </c>
      <c r="H348" s="7"/>
      <c r="I348" s="7"/>
    </row>
    <row r="349" spans="1:9" ht="30" x14ac:dyDescent="0.25">
      <c r="A349" s="4" t="str">
        <f>"5880"</f>
        <v>5880</v>
      </c>
      <c r="B349" s="5">
        <v>3</v>
      </c>
      <c r="C349" s="4" t="s">
        <v>8</v>
      </c>
      <c r="D349" s="6">
        <v>4</v>
      </c>
      <c r="E349" s="4" t="s">
        <v>198</v>
      </c>
      <c r="F349" s="6" t="s">
        <v>516</v>
      </c>
      <c r="G349" s="5" t="s">
        <v>517</v>
      </c>
      <c r="H349" s="7"/>
      <c r="I349" s="7"/>
    </row>
    <row r="350" spans="1:9" ht="30" x14ac:dyDescent="0.25">
      <c r="A350" s="4"/>
      <c r="B350" s="5"/>
      <c r="C350" s="4"/>
      <c r="D350" s="6" t="s">
        <v>886</v>
      </c>
      <c r="E350" s="4"/>
      <c r="F350" s="6"/>
      <c r="G350" s="17" t="s">
        <v>890</v>
      </c>
      <c r="H350" s="7"/>
      <c r="I350" s="7"/>
    </row>
    <row r="351" spans="1:9" ht="30" x14ac:dyDescent="0.25">
      <c r="A351" s="4" t="str">
        <f>"6020"</f>
        <v>6020</v>
      </c>
      <c r="B351" s="5">
        <v>5</v>
      </c>
      <c r="C351" s="4" t="s">
        <v>8</v>
      </c>
      <c r="D351" s="6">
        <v>12</v>
      </c>
      <c r="E351" s="4" t="s">
        <v>518</v>
      </c>
      <c r="F351" s="6" t="s">
        <v>519</v>
      </c>
      <c r="G351" s="5" t="s">
        <v>520</v>
      </c>
      <c r="H351" s="7"/>
      <c r="I351" s="7"/>
    </row>
    <row r="352" spans="1:9" ht="30" x14ac:dyDescent="0.25">
      <c r="A352" s="4"/>
      <c r="B352" s="5"/>
      <c r="C352" s="4"/>
      <c r="D352" s="6" t="s">
        <v>886</v>
      </c>
      <c r="E352" s="4"/>
      <c r="F352" s="6"/>
      <c r="G352" s="5" t="s">
        <v>843</v>
      </c>
      <c r="H352" s="7"/>
      <c r="I352" s="7"/>
    </row>
    <row r="353" spans="1:9" ht="30" x14ac:dyDescent="0.25">
      <c r="A353" s="4" t="str">
        <f>"6025"</f>
        <v>6025</v>
      </c>
      <c r="B353" s="5">
        <v>5</v>
      </c>
      <c r="C353" s="4" t="s">
        <v>8</v>
      </c>
      <c r="D353" s="6">
        <v>12</v>
      </c>
      <c r="E353" s="4" t="s">
        <v>518</v>
      </c>
      <c r="F353" s="6" t="s">
        <v>519</v>
      </c>
      <c r="G353" s="5" t="s">
        <v>521</v>
      </c>
      <c r="H353" s="7"/>
      <c r="I353" s="7"/>
    </row>
    <row r="354" spans="1:9" ht="30" x14ac:dyDescent="0.25">
      <c r="A354" s="4"/>
      <c r="B354" s="5"/>
      <c r="C354" s="4"/>
      <c r="D354" s="6" t="s">
        <v>886</v>
      </c>
      <c r="E354" s="4"/>
      <c r="F354" s="6"/>
      <c r="G354" s="5" t="s">
        <v>844</v>
      </c>
      <c r="H354" s="7"/>
      <c r="I354" s="7"/>
    </row>
    <row r="355" spans="1:9" ht="30" x14ac:dyDescent="0.25">
      <c r="A355" s="4" t="str">
        <f>"6026"</f>
        <v>6026</v>
      </c>
      <c r="B355" s="5">
        <v>5</v>
      </c>
      <c r="C355" s="4" t="s">
        <v>8</v>
      </c>
      <c r="D355" s="6">
        <v>6</v>
      </c>
      <c r="E355" s="4" t="s">
        <v>518</v>
      </c>
      <c r="F355" s="6" t="s">
        <v>519</v>
      </c>
      <c r="G355" s="5" t="s">
        <v>522</v>
      </c>
      <c r="H355" s="7"/>
      <c r="I355" s="7"/>
    </row>
    <row r="356" spans="1:9" ht="30" x14ac:dyDescent="0.25">
      <c r="A356" s="4"/>
      <c r="B356" s="5"/>
      <c r="C356" s="4"/>
      <c r="D356" s="6" t="s">
        <v>886</v>
      </c>
      <c r="E356" s="4"/>
      <c r="F356" s="6"/>
      <c r="G356" s="5" t="s">
        <v>845</v>
      </c>
      <c r="H356" s="7"/>
      <c r="I356" s="7"/>
    </row>
    <row r="357" spans="1:9" ht="30" x14ac:dyDescent="0.25">
      <c r="A357" s="4" t="str">
        <f>"6575"</f>
        <v>6575</v>
      </c>
      <c r="B357" s="5">
        <v>1</v>
      </c>
      <c r="C357" s="4" t="s">
        <v>8</v>
      </c>
      <c r="D357" s="6">
        <v>8</v>
      </c>
      <c r="E357" s="4" t="s">
        <v>7</v>
      </c>
      <c r="F357" s="6" t="s">
        <v>523</v>
      </c>
      <c r="G357" s="5" t="s">
        <v>524</v>
      </c>
      <c r="H357" s="7"/>
      <c r="I357" s="7"/>
    </row>
    <row r="358" spans="1:9" ht="30" x14ac:dyDescent="0.25">
      <c r="A358" s="4"/>
      <c r="B358" s="5"/>
      <c r="C358" s="4"/>
      <c r="D358" s="6" t="s">
        <v>886</v>
      </c>
      <c r="E358" s="4"/>
      <c r="F358" s="6"/>
      <c r="G358" s="5" t="s">
        <v>846</v>
      </c>
      <c r="H358" s="7"/>
      <c r="I358" s="7"/>
    </row>
    <row r="359" spans="1:9" ht="30" x14ac:dyDescent="0.25">
      <c r="A359" s="4" t="str">
        <f>"7770"</f>
        <v>7770</v>
      </c>
      <c r="B359" s="5">
        <v>3</v>
      </c>
      <c r="C359" s="4" t="s">
        <v>6</v>
      </c>
      <c r="D359" s="6">
        <v>6</v>
      </c>
      <c r="E359" s="4" t="s">
        <v>7</v>
      </c>
      <c r="F359" s="6" t="s">
        <v>134</v>
      </c>
      <c r="G359" s="5" t="s">
        <v>525</v>
      </c>
      <c r="H359" s="7"/>
      <c r="I359" s="7"/>
    </row>
    <row r="360" spans="1:9" x14ac:dyDescent="0.25">
      <c r="A360" s="4" t="str">
        <f>"8085"</f>
        <v>8085</v>
      </c>
      <c r="B360" s="5">
        <v>3</v>
      </c>
      <c r="C360" s="4" t="s">
        <v>6</v>
      </c>
      <c r="D360" s="6">
        <v>6</v>
      </c>
      <c r="E360" s="4" t="s">
        <v>7</v>
      </c>
      <c r="F360" s="6" t="s">
        <v>134</v>
      </c>
      <c r="G360" s="5" t="s">
        <v>526</v>
      </c>
      <c r="H360" s="7"/>
      <c r="I360" s="7"/>
    </row>
    <row r="361" spans="1:9" ht="30" x14ac:dyDescent="0.25">
      <c r="A361" s="4" t="str">
        <f>"8580"</f>
        <v>8580</v>
      </c>
      <c r="B361" s="5">
        <v>2</v>
      </c>
      <c r="C361" s="4" t="s">
        <v>8</v>
      </c>
      <c r="D361" s="6">
        <v>2</v>
      </c>
      <c r="E361" s="4" t="s">
        <v>36</v>
      </c>
      <c r="F361" s="6" t="s">
        <v>134</v>
      </c>
      <c r="G361" s="5" t="s">
        <v>527</v>
      </c>
      <c r="H361" s="7"/>
      <c r="I361" s="7"/>
    </row>
    <row r="362" spans="1:9" ht="30" x14ac:dyDescent="0.25">
      <c r="A362" s="4"/>
      <c r="B362" s="5"/>
      <c r="C362" s="4"/>
      <c r="D362" s="6" t="s">
        <v>886</v>
      </c>
      <c r="E362" s="4"/>
      <c r="F362" s="6"/>
      <c r="G362" s="5" t="s">
        <v>847</v>
      </c>
      <c r="H362" s="7"/>
      <c r="I362" s="7"/>
    </row>
    <row r="363" spans="1:9" ht="30" x14ac:dyDescent="0.25">
      <c r="A363" s="4" t="str">
        <f>"9345"</f>
        <v>9345</v>
      </c>
      <c r="B363" s="5">
        <v>1</v>
      </c>
      <c r="C363" s="4" t="s">
        <v>6</v>
      </c>
      <c r="D363" s="6">
        <v>96</v>
      </c>
      <c r="E363" s="4" t="s">
        <v>528</v>
      </c>
      <c r="F363" s="6" t="s">
        <v>529</v>
      </c>
      <c r="G363" s="5" t="s">
        <v>530</v>
      </c>
      <c r="H363" s="7"/>
      <c r="I363" s="7"/>
    </row>
    <row r="364" spans="1:9" ht="30" x14ac:dyDescent="0.25">
      <c r="A364" s="4" t="str">
        <f>"11452"</f>
        <v>11452</v>
      </c>
      <c r="B364" s="5">
        <v>3</v>
      </c>
      <c r="C364" s="4" t="s">
        <v>6</v>
      </c>
      <c r="D364" s="6">
        <v>4</v>
      </c>
      <c r="E364" s="4" t="s">
        <v>531</v>
      </c>
      <c r="F364" s="6" t="s">
        <v>532</v>
      </c>
      <c r="G364" s="5" t="s">
        <v>533</v>
      </c>
      <c r="H364" s="7"/>
      <c r="I364" s="7"/>
    </row>
    <row r="365" spans="1:9" ht="30" x14ac:dyDescent="0.25">
      <c r="A365" s="4" t="str">
        <f>"11540"</f>
        <v>11540</v>
      </c>
      <c r="B365" s="5">
        <v>2</v>
      </c>
      <c r="C365" s="4" t="s">
        <v>6</v>
      </c>
      <c r="D365" s="6" t="s">
        <v>886</v>
      </c>
      <c r="E365" s="4" t="s">
        <v>534</v>
      </c>
      <c r="F365" s="6" t="s">
        <v>535</v>
      </c>
      <c r="G365" s="5" t="s">
        <v>536</v>
      </c>
      <c r="H365" s="7"/>
      <c r="I365" s="7"/>
    </row>
    <row r="366" spans="1:9" x14ac:dyDescent="0.25">
      <c r="A366" s="4" t="str">
        <f>"12915"</f>
        <v>12915</v>
      </c>
      <c r="B366" s="5">
        <v>2</v>
      </c>
      <c r="C366" s="4" t="s">
        <v>8</v>
      </c>
      <c r="D366" s="6">
        <v>4</v>
      </c>
      <c r="E366" s="4" t="s">
        <v>198</v>
      </c>
      <c r="F366" s="6" t="s">
        <v>176</v>
      </c>
      <c r="G366" s="5" t="s">
        <v>537</v>
      </c>
      <c r="H366" s="7"/>
      <c r="I366" s="7"/>
    </row>
    <row r="367" spans="1:9" ht="30" x14ac:dyDescent="0.25">
      <c r="A367" s="4"/>
      <c r="B367" s="5"/>
      <c r="C367" s="4"/>
      <c r="D367" s="6" t="s">
        <v>886</v>
      </c>
      <c r="E367" s="4"/>
      <c r="F367" s="6"/>
      <c r="G367" s="5" t="s">
        <v>848</v>
      </c>
      <c r="H367" s="7"/>
      <c r="I367" s="7"/>
    </row>
    <row r="368" spans="1:9" ht="45" x14ac:dyDescent="0.25">
      <c r="A368" s="4" t="str">
        <f>"13010"</f>
        <v>13010</v>
      </c>
      <c r="B368" s="5">
        <v>4</v>
      </c>
      <c r="C368" s="4" t="s">
        <v>6</v>
      </c>
      <c r="D368" s="6">
        <v>6</v>
      </c>
      <c r="E368" s="4" t="s">
        <v>538</v>
      </c>
      <c r="F368" s="6" t="s">
        <v>539</v>
      </c>
      <c r="G368" s="5" t="s">
        <v>540</v>
      </c>
      <c r="H368" s="7"/>
      <c r="I368" s="7"/>
    </row>
    <row r="369" spans="1:9" x14ac:dyDescent="0.25">
      <c r="A369" s="4" t="str">
        <f>"13026"</f>
        <v>13026</v>
      </c>
      <c r="B369" s="5">
        <v>2</v>
      </c>
      <c r="C369" s="4" t="s">
        <v>6</v>
      </c>
      <c r="D369" s="6">
        <v>6</v>
      </c>
      <c r="E369" s="4" t="s">
        <v>108</v>
      </c>
      <c r="F369" s="6" t="s">
        <v>541</v>
      </c>
      <c r="G369" s="5" t="s">
        <v>542</v>
      </c>
      <c r="H369" s="7"/>
      <c r="I369" s="7"/>
    </row>
    <row r="370" spans="1:9" ht="30" x14ac:dyDescent="0.25">
      <c r="A370" s="4" t="str">
        <f>"13153"</f>
        <v>13153</v>
      </c>
      <c r="B370" s="5">
        <v>2</v>
      </c>
      <c r="C370" s="4" t="s">
        <v>6</v>
      </c>
      <c r="D370" s="6">
        <v>6</v>
      </c>
      <c r="E370" s="4" t="s">
        <v>278</v>
      </c>
      <c r="F370" s="6" t="s">
        <v>543</v>
      </c>
      <c r="G370" s="5" t="s">
        <v>544</v>
      </c>
      <c r="H370" s="7"/>
      <c r="I370" s="7"/>
    </row>
    <row r="371" spans="1:9" x14ac:dyDescent="0.25">
      <c r="A371" s="4" t="str">
        <f>"13158"</f>
        <v>13158</v>
      </c>
      <c r="B371" s="5">
        <v>2</v>
      </c>
      <c r="C371" s="4" t="s">
        <v>8</v>
      </c>
      <c r="D371" s="6">
        <v>2</v>
      </c>
      <c r="E371" s="4" t="s">
        <v>7</v>
      </c>
      <c r="F371" s="6" t="s">
        <v>545</v>
      </c>
      <c r="G371" s="5" t="s">
        <v>546</v>
      </c>
      <c r="H371" s="7"/>
      <c r="I371" s="7"/>
    </row>
    <row r="372" spans="1:9" ht="30" x14ac:dyDescent="0.25">
      <c r="A372" s="4"/>
      <c r="B372" s="5"/>
      <c r="C372" s="4"/>
      <c r="D372" s="6" t="s">
        <v>886</v>
      </c>
      <c r="E372" s="4"/>
      <c r="F372" s="6"/>
      <c r="G372" s="5" t="s">
        <v>849</v>
      </c>
      <c r="H372" s="7"/>
      <c r="I372" s="7"/>
    </row>
    <row r="373" spans="1:9" x14ac:dyDescent="0.25">
      <c r="A373" s="4" t="str">
        <f>"13530"</f>
        <v>13530</v>
      </c>
      <c r="B373" s="5">
        <v>2</v>
      </c>
      <c r="C373" s="4" t="s">
        <v>8</v>
      </c>
      <c r="D373" s="6">
        <v>12</v>
      </c>
      <c r="E373" s="4" t="s">
        <v>21</v>
      </c>
      <c r="F373" s="6" t="s">
        <v>541</v>
      </c>
      <c r="G373" s="5" t="s">
        <v>547</v>
      </c>
      <c r="H373" s="7"/>
      <c r="I373" s="7"/>
    </row>
    <row r="374" spans="1:9" ht="30" x14ac:dyDescent="0.25">
      <c r="A374" s="4"/>
      <c r="B374" s="5"/>
      <c r="C374" s="4"/>
      <c r="D374" s="6" t="s">
        <v>886</v>
      </c>
      <c r="E374" s="4"/>
      <c r="F374" s="6"/>
      <c r="G374" s="5" t="s">
        <v>850</v>
      </c>
      <c r="H374" s="7"/>
      <c r="I374" s="7"/>
    </row>
    <row r="375" spans="1:9" x14ac:dyDescent="0.25">
      <c r="A375" s="4" t="str">
        <f>"13995"</f>
        <v>13995</v>
      </c>
      <c r="B375" s="5">
        <v>3</v>
      </c>
      <c r="C375" s="4" t="s">
        <v>6</v>
      </c>
      <c r="D375" s="6">
        <v>4</v>
      </c>
      <c r="E375" s="4" t="s">
        <v>198</v>
      </c>
      <c r="F375" s="6" t="s">
        <v>548</v>
      </c>
      <c r="G375" s="5" t="s">
        <v>549</v>
      </c>
      <c r="H375" s="7"/>
      <c r="I375" s="7"/>
    </row>
    <row r="376" spans="1:9" ht="30" x14ac:dyDescent="0.25">
      <c r="A376" s="4" t="str">
        <f>"14285"</f>
        <v>14285</v>
      </c>
      <c r="B376" s="5">
        <v>4</v>
      </c>
      <c r="C376" s="4" t="s">
        <v>6</v>
      </c>
      <c r="D376" s="6">
        <v>1</v>
      </c>
      <c r="E376" s="4" t="s">
        <v>550</v>
      </c>
      <c r="F376" s="6" t="s">
        <v>548</v>
      </c>
      <c r="G376" s="5" t="s">
        <v>551</v>
      </c>
      <c r="H376" s="7"/>
      <c r="I376" s="7"/>
    </row>
    <row r="377" spans="1:9" x14ac:dyDescent="0.25">
      <c r="A377" s="4" t="str">
        <f>"14289"</f>
        <v>14289</v>
      </c>
      <c r="B377" s="5">
        <v>4</v>
      </c>
      <c r="C377" s="4" t="s">
        <v>6</v>
      </c>
      <c r="D377" s="6">
        <v>1</v>
      </c>
      <c r="E377" s="4" t="s">
        <v>550</v>
      </c>
      <c r="F377" s="6" t="s">
        <v>548</v>
      </c>
      <c r="G377" s="5" t="s">
        <v>552</v>
      </c>
      <c r="H377" s="7"/>
      <c r="I377" s="7"/>
    </row>
    <row r="378" spans="1:9" x14ac:dyDescent="0.25">
      <c r="A378" s="4" t="str">
        <f>"16165"</f>
        <v>16165</v>
      </c>
      <c r="B378" s="5">
        <v>2</v>
      </c>
      <c r="C378" s="4" t="s">
        <v>8</v>
      </c>
      <c r="D378" s="6">
        <v>6</v>
      </c>
      <c r="E378" s="4" t="s">
        <v>108</v>
      </c>
      <c r="F378" s="6" t="s">
        <v>210</v>
      </c>
      <c r="G378" s="5" t="s">
        <v>553</v>
      </c>
      <c r="H378" s="7"/>
      <c r="I378" s="7"/>
    </row>
    <row r="379" spans="1:9" ht="30" x14ac:dyDescent="0.25">
      <c r="A379" s="4"/>
      <c r="B379" s="5"/>
      <c r="C379" s="4"/>
      <c r="D379" s="6" t="s">
        <v>886</v>
      </c>
      <c r="E379" s="4"/>
      <c r="F379" s="6"/>
      <c r="G379" s="5" t="s">
        <v>851</v>
      </c>
      <c r="H379" s="7"/>
      <c r="I379" s="7"/>
    </row>
    <row r="380" spans="1:9" x14ac:dyDescent="0.25">
      <c r="A380" s="4" t="str">
        <f>"17476"</f>
        <v>17476</v>
      </c>
      <c r="B380" s="5">
        <v>3</v>
      </c>
      <c r="C380" s="4" t="s">
        <v>6</v>
      </c>
      <c r="D380" s="6">
        <v>80</v>
      </c>
      <c r="E380" s="4" t="s">
        <v>184</v>
      </c>
      <c r="F380" s="6" t="s">
        <v>216</v>
      </c>
      <c r="G380" s="5" t="s">
        <v>554</v>
      </c>
      <c r="H380" s="7"/>
      <c r="I380" s="7"/>
    </row>
    <row r="381" spans="1:9" ht="30" x14ac:dyDescent="0.25">
      <c r="A381" s="4" t="str">
        <f>"17820"</f>
        <v>17820</v>
      </c>
      <c r="B381" s="5">
        <v>2</v>
      </c>
      <c r="C381" s="4" t="s">
        <v>8</v>
      </c>
      <c r="D381" s="6">
        <v>10</v>
      </c>
      <c r="E381" s="4" t="s">
        <v>52</v>
      </c>
      <c r="F381" s="6" t="s">
        <v>555</v>
      </c>
      <c r="G381" s="5" t="s">
        <v>556</v>
      </c>
      <c r="H381" s="7"/>
      <c r="I381" s="7"/>
    </row>
    <row r="382" spans="1:9" ht="30" x14ac:dyDescent="0.25">
      <c r="A382" s="4"/>
      <c r="B382" s="5"/>
      <c r="C382" s="4"/>
      <c r="D382" s="6" t="s">
        <v>886</v>
      </c>
      <c r="E382" s="4"/>
      <c r="F382" s="6"/>
      <c r="G382" s="5" t="s">
        <v>852</v>
      </c>
      <c r="H382" s="7"/>
      <c r="I382" s="7"/>
    </row>
    <row r="383" spans="1:9" ht="30" x14ac:dyDescent="0.25">
      <c r="A383" s="4" t="str">
        <f>"17852"</f>
        <v>17852</v>
      </c>
      <c r="B383" s="5">
        <v>2</v>
      </c>
      <c r="C383" s="4" t="s">
        <v>8</v>
      </c>
      <c r="D383" s="6">
        <v>6</v>
      </c>
      <c r="E383" s="4" t="s">
        <v>557</v>
      </c>
      <c r="F383" s="6" t="s">
        <v>555</v>
      </c>
      <c r="G383" s="5" t="s">
        <v>558</v>
      </c>
      <c r="H383" s="7"/>
      <c r="I383" s="7"/>
    </row>
    <row r="384" spans="1:9" ht="30" x14ac:dyDescent="0.25">
      <c r="A384" s="4"/>
      <c r="B384" s="5"/>
      <c r="C384" s="4"/>
      <c r="D384" s="6" t="s">
        <v>886</v>
      </c>
      <c r="E384" s="4"/>
      <c r="F384" s="6"/>
      <c r="G384" s="5" t="s">
        <v>853</v>
      </c>
      <c r="H384" s="7"/>
      <c r="I384" s="7"/>
    </row>
    <row r="385" spans="1:9" ht="30" x14ac:dyDescent="0.25">
      <c r="A385" s="4" t="str">
        <f>"17862"</f>
        <v>17862</v>
      </c>
      <c r="B385" s="5">
        <v>2</v>
      </c>
      <c r="C385" s="4" t="s">
        <v>8</v>
      </c>
      <c r="D385" s="6">
        <v>6</v>
      </c>
      <c r="E385" s="4" t="s">
        <v>557</v>
      </c>
      <c r="F385" s="6" t="s">
        <v>555</v>
      </c>
      <c r="G385" s="5" t="s">
        <v>559</v>
      </c>
      <c r="H385" s="7"/>
      <c r="I385" s="7"/>
    </row>
    <row r="386" spans="1:9" ht="30" x14ac:dyDescent="0.25">
      <c r="A386" s="4"/>
      <c r="B386" s="5"/>
      <c r="C386" s="4"/>
      <c r="D386" s="6" t="s">
        <v>886</v>
      </c>
      <c r="E386" s="4"/>
      <c r="F386" s="6"/>
      <c r="G386" s="5" t="s">
        <v>854</v>
      </c>
      <c r="H386" s="7"/>
      <c r="I386" s="7"/>
    </row>
    <row r="387" spans="1:9" x14ac:dyDescent="0.25">
      <c r="A387" s="4" t="str">
        <f>"17864"</f>
        <v>17864</v>
      </c>
      <c r="B387" s="5">
        <v>2</v>
      </c>
      <c r="C387" s="4" t="s">
        <v>8</v>
      </c>
      <c r="D387" s="6">
        <v>6</v>
      </c>
      <c r="E387" s="4" t="s">
        <v>557</v>
      </c>
      <c r="F387" s="6" t="s">
        <v>555</v>
      </c>
      <c r="G387" s="5" t="s">
        <v>560</v>
      </c>
      <c r="H387" s="7"/>
      <c r="I387" s="7"/>
    </row>
    <row r="388" spans="1:9" ht="30" x14ac:dyDescent="0.25">
      <c r="A388" s="4"/>
      <c r="B388" s="5"/>
      <c r="C388" s="4"/>
      <c r="D388" s="6" t="s">
        <v>886</v>
      </c>
      <c r="E388" s="4"/>
      <c r="F388" s="6"/>
      <c r="G388" s="5" t="s">
        <v>855</v>
      </c>
      <c r="H388" s="7"/>
      <c r="I388" s="7"/>
    </row>
    <row r="389" spans="1:9" x14ac:dyDescent="0.25">
      <c r="A389" s="4" t="str">
        <f>"17876"</f>
        <v>17876</v>
      </c>
      <c r="B389" s="5">
        <v>2</v>
      </c>
      <c r="C389" s="4" t="s">
        <v>8</v>
      </c>
      <c r="D389" s="6">
        <v>6</v>
      </c>
      <c r="E389" s="4" t="s">
        <v>557</v>
      </c>
      <c r="F389" s="6" t="s">
        <v>555</v>
      </c>
      <c r="G389" s="5" t="s">
        <v>561</v>
      </c>
      <c r="H389" s="7"/>
      <c r="I389" s="7"/>
    </row>
    <row r="390" spans="1:9" ht="30" x14ac:dyDescent="0.25">
      <c r="A390" s="4"/>
      <c r="B390" s="5"/>
      <c r="C390" s="4"/>
      <c r="D390" s="6" t="s">
        <v>886</v>
      </c>
      <c r="E390" s="4"/>
      <c r="F390" s="6"/>
      <c r="G390" s="5" t="s">
        <v>856</v>
      </c>
      <c r="H390" s="7"/>
      <c r="I390" s="7"/>
    </row>
    <row r="391" spans="1:9" x14ac:dyDescent="0.25">
      <c r="A391" s="4" t="str">
        <f>"17895"</f>
        <v>17895</v>
      </c>
      <c r="B391" s="5">
        <v>2</v>
      </c>
      <c r="C391" s="4" t="s">
        <v>6</v>
      </c>
      <c r="D391" s="6">
        <v>4</v>
      </c>
      <c r="E391" s="4" t="s">
        <v>562</v>
      </c>
      <c r="F391" s="6" t="s">
        <v>555</v>
      </c>
      <c r="G391" s="5" t="s">
        <v>563</v>
      </c>
      <c r="H391" s="7"/>
      <c r="I391" s="7"/>
    </row>
    <row r="392" spans="1:9" ht="30" x14ac:dyDescent="0.25">
      <c r="A392" s="4" t="str">
        <f>"18973"</f>
        <v>18973</v>
      </c>
      <c r="B392" s="5">
        <v>4</v>
      </c>
      <c r="C392" s="4" t="s">
        <v>6</v>
      </c>
      <c r="D392" s="6">
        <v>24</v>
      </c>
      <c r="E392" s="4" t="s">
        <v>165</v>
      </c>
      <c r="F392" s="6" t="s">
        <v>564</v>
      </c>
      <c r="G392" s="5" t="s">
        <v>565</v>
      </c>
      <c r="H392" s="7"/>
      <c r="I392" s="7"/>
    </row>
    <row r="393" spans="1:9" x14ac:dyDescent="0.25">
      <c r="A393" s="4" t="str">
        <f>"19085"</f>
        <v>19085</v>
      </c>
      <c r="B393" s="5">
        <v>2</v>
      </c>
      <c r="C393" s="4" t="s">
        <v>6</v>
      </c>
      <c r="D393" s="6">
        <v>24</v>
      </c>
      <c r="E393" s="4" t="s">
        <v>221</v>
      </c>
      <c r="F393" s="6" t="s">
        <v>227</v>
      </c>
      <c r="G393" s="5" t="s">
        <v>566</v>
      </c>
      <c r="H393" s="7"/>
      <c r="I393" s="7"/>
    </row>
    <row r="394" spans="1:9" ht="30" x14ac:dyDescent="0.25">
      <c r="A394" s="4" t="str">
        <f>"19575"</f>
        <v>19575</v>
      </c>
      <c r="B394" s="5">
        <v>1</v>
      </c>
      <c r="C394" s="4" t="s">
        <v>6</v>
      </c>
      <c r="D394" s="6">
        <v>25</v>
      </c>
      <c r="E394" s="4" t="s">
        <v>567</v>
      </c>
      <c r="F394" s="6" t="s">
        <v>568</v>
      </c>
      <c r="G394" s="5" t="s">
        <v>569</v>
      </c>
      <c r="H394" s="7"/>
      <c r="I394" s="7"/>
    </row>
    <row r="395" spans="1:9" ht="30" x14ac:dyDescent="0.25">
      <c r="A395" s="4" t="str">
        <f>"20075"</f>
        <v>20075</v>
      </c>
      <c r="B395" s="5">
        <v>3</v>
      </c>
      <c r="C395" s="4" t="s">
        <v>6</v>
      </c>
      <c r="D395" s="6">
        <v>150</v>
      </c>
      <c r="E395" s="4" t="s">
        <v>570</v>
      </c>
      <c r="F395" s="6" t="s">
        <v>571</v>
      </c>
      <c r="G395" s="5" t="s">
        <v>572</v>
      </c>
      <c r="H395" s="7"/>
      <c r="I395" s="7"/>
    </row>
    <row r="396" spans="1:9" ht="30" x14ac:dyDescent="0.25">
      <c r="A396" s="4" t="str">
        <f>"20300"</f>
        <v>20300</v>
      </c>
      <c r="B396" s="5">
        <v>2</v>
      </c>
      <c r="C396" s="4" t="s">
        <v>6</v>
      </c>
      <c r="D396" s="6">
        <v>500</v>
      </c>
      <c r="E396" s="4" t="s">
        <v>573</v>
      </c>
      <c r="F396" s="6" t="s">
        <v>574</v>
      </c>
      <c r="G396" s="5" t="s">
        <v>575</v>
      </c>
      <c r="H396" s="7"/>
      <c r="I396" s="7"/>
    </row>
    <row r="397" spans="1:9" ht="30" x14ac:dyDescent="0.25">
      <c r="A397" s="4" t="str">
        <f>"22288"</f>
        <v>22288</v>
      </c>
      <c r="B397" s="5">
        <v>4</v>
      </c>
      <c r="C397" s="4" t="s">
        <v>6</v>
      </c>
      <c r="D397" s="6">
        <v>192</v>
      </c>
      <c r="E397" s="4" t="s">
        <v>576</v>
      </c>
      <c r="F397" s="6" t="s">
        <v>577</v>
      </c>
      <c r="G397" s="5" t="s">
        <v>578</v>
      </c>
      <c r="H397" s="7"/>
      <c r="I397" s="7"/>
    </row>
    <row r="398" spans="1:9" ht="30" x14ac:dyDescent="0.25">
      <c r="A398" s="4" t="str">
        <f>"22535"</f>
        <v>22535</v>
      </c>
      <c r="B398" s="5">
        <v>4</v>
      </c>
      <c r="C398" s="4" t="s">
        <v>6</v>
      </c>
      <c r="D398" s="6">
        <v>252</v>
      </c>
      <c r="E398" s="4" t="s">
        <v>579</v>
      </c>
      <c r="F398" s="6" t="s">
        <v>241</v>
      </c>
      <c r="G398" s="5" t="s">
        <v>580</v>
      </c>
      <c r="H398" s="7"/>
      <c r="I398" s="7"/>
    </row>
    <row r="399" spans="1:9" ht="30" x14ac:dyDescent="0.25">
      <c r="A399" s="4" t="str">
        <f>"23145"</f>
        <v>23145</v>
      </c>
      <c r="B399" s="5">
        <v>2</v>
      </c>
      <c r="C399" s="4" t="s">
        <v>6</v>
      </c>
      <c r="D399" s="6">
        <v>1</v>
      </c>
      <c r="E399" s="4" t="s">
        <v>581</v>
      </c>
      <c r="F399" s="6" t="s">
        <v>582</v>
      </c>
      <c r="G399" s="5" t="s">
        <v>583</v>
      </c>
      <c r="H399" s="7"/>
      <c r="I399" s="7"/>
    </row>
    <row r="400" spans="1:9" ht="30" x14ac:dyDescent="0.25">
      <c r="A400" s="4" t="str">
        <f>"23279"</f>
        <v>23279</v>
      </c>
      <c r="B400" s="5">
        <v>2</v>
      </c>
      <c r="C400" s="4" t="s">
        <v>6</v>
      </c>
      <c r="D400" s="6">
        <v>1</v>
      </c>
      <c r="E400" s="4" t="s">
        <v>250</v>
      </c>
      <c r="F400" s="6" t="s">
        <v>248</v>
      </c>
      <c r="G400" s="5" t="s">
        <v>584</v>
      </c>
      <c r="H400" s="7"/>
      <c r="I400" s="7"/>
    </row>
    <row r="401" spans="1:9" x14ac:dyDescent="0.25">
      <c r="A401" s="4" t="str">
        <f>"23652"</f>
        <v>23652</v>
      </c>
      <c r="B401" s="5">
        <v>3</v>
      </c>
      <c r="C401" s="4" t="s">
        <v>8</v>
      </c>
      <c r="D401" s="6">
        <v>6</v>
      </c>
      <c r="E401" s="4" t="s">
        <v>7</v>
      </c>
      <c r="F401" s="6" t="s">
        <v>245</v>
      </c>
      <c r="G401" s="5" t="s">
        <v>585</v>
      </c>
      <c r="H401" s="7"/>
      <c r="I401" s="7"/>
    </row>
    <row r="402" spans="1:9" ht="30" x14ac:dyDescent="0.25">
      <c r="A402" s="4"/>
      <c r="B402" s="5"/>
      <c r="C402" s="4"/>
      <c r="D402" s="6" t="s">
        <v>886</v>
      </c>
      <c r="E402" s="4"/>
      <c r="F402" s="6"/>
      <c r="G402" s="5" t="s">
        <v>857</v>
      </c>
      <c r="H402" s="7"/>
      <c r="I402" s="7"/>
    </row>
    <row r="403" spans="1:9" x14ac:dyDescent="0.25">
      <c r="A403" s="4" t="str">
        <f>"23880"</f>
        <v>23880</v>
      </c>
      <c r="B403" s="5">
        <v>4</v>
      </c>
      <c r="C403" s="4" t="s">
        <v>8</v>
      </c>
      <c r="D403" s="6">
        <v>4</v>
      </c>
      <c r="E403" s="4" t="s">
        <v>101</v>
      </c>
      <c r="F403" s="6" t="s">
        <v>582</v>
      </c>
      <c r="G403" s="5" t="s">
        <v>586</v>
      </c>
      <c r="H403" s="7"/>
      <c r="I403" s="7"/>
    </row>
    <row r="404" spans="1:9" ht="30" x14ac:dyDescent="0.25">
      <c r="A404" s="4"/>
      <c r="B404" s="5"/>
      <c r="C404" s="4"/>
      <c r="D404" s="6" t="s">
        <v>886</v>
      </c>
      <c r="E404" s="4"/>
      <c r="F404" s="6"/>
      <c r="G404" s="5" t="s">
        <v>858</v>
      </c>
      <c r="H404" s="7"/>
      <c r="I404" s="7"/>
    </row>
    <row r="405" spans="1:9" x14ac:dyDescent="0.25">
      <c r="A405" s="4" t="str">
        <f>"23935"</f>
        <v>23935</v>
      </c>
      <c r="B405" s="5">
        <v>6</v>
      </c>
      <c r="C405" s="4" t="s">
        <v>6</v>
      </c>
      <c r="D405" s="6">
        <v>1</v>
      </c>
      <c r="E405" s="4" t="s">
        <v>250</v>
      </c>
      <c r="F405" s="6" t="s">
        <v>245</v>
      </c>
      <c r="G405" s="5" t="s">
        <v>587</v>
      </c>
      <c r="H405" s="7"/>
      <c r="I405" s="7"/>
    </row>
    <row r="406" spans="1:9" ht="30" x14ac:dyDescent="0.25">
      <c r="A406" s="4" t="str">
        <f>"23955"</f>
        <v>23955</v>
      </c>
      <c r="B406" s="5">
        <v>5</v>
      </c>
      <c r="C406" s="4" t="s">
        <v>6</v>
      </c>
      <c r="D406" s="6">
        <v>6</v>
      </c>
      <c r="E406" s="4" t="s">
        <v>588</v>
      </c>
      <c r="F406" s="6" t="s">
        <v>589</v>
      </c>
      <c r="G406" s="5" t="s">
        <v>590</v>
      </c>
      <c r="H406" s="7"/>
      <c r="I406" s="7"/>
    </row>
    <row r="407" spans="1:9" x14ac:dyDescent="0.25">
      <c r="A407" s="4" t="str">
        <f>"23990"</f>
        <v>23990</v>
      </c>
      <c r="B407" s="5">
        <v>6</v>
      </c>
      <c r="C407" s="4" t="s">
        <v>8</v>
      </c>
      <c r="D407" s="6">
        <v>8</v>
      </c>
      <c r="E407" s="4" t="s">
        <v>11</v>
      </c>
      <c r="F407" s="6" t="s">
        <v>257</v>
      </c>
      <c r="G407" s="5" t="s">
        <v>591</v>
      </c>
      <c r="H407" s="7"/>
      <c r="I407" s="7"/>
    </row>
    <row r="408" spans="1:9" ht="30" x14ac:dyDescent="0.25">
      <c r="A408" s="4"/>
      <c r="B408" s="5"/>
      <c r="C408" s="4"/>
      <c r="D408" s="6" t="s">
        <v>886</v>
      </c>
      <c r="E408" s="4"/>
      <c r="F408" s="6"/>
      <c r="G408" s="5" t="s">
        <v>859</v>
      </c>
      <c r="H408" s="7"/>
      <c r="I408" s="7"/>
    </row>
    <row r="409" spans="1:9" x14ac:dyDescent="0.25">
      <c r="A409" s="4" t="str">
        <f>"24470"</f>
        <v>24470</v>
      </c>
      <c r="B409" s="5">
        <v>2</v>
      </c>
      <c r="C409" s="4" t="s">
        <v>8</v>
      </c>
      <c r="D409" s="6">
        <v>6</v>
      </c>
      <c r="E409" s="4" t="s">
        <v>592</v>
      </c>
      <c r="F409" s="6" t="s">
        <v>257</v>
      </c>
      <c r="G409" s="5" t="s">
        <v>593</v>
      </c>
      <c r="H409" s="7"/>
      <c r="I409" s="7"/>
    </row>
    <row r="410" spans="1:9" ht="30" x14ac:dyDescent="0.25">
      <c r="A410" s="4"/>
      <c r="B410" s="5"/>
      <c r="C410" s="4"/>
      <c r="D410" s="6" t="s">
        <v>886</v>
      </c>
      <c r="E410" s="4"/>
      <c r="F410" s="6"/>
      <c r="G410" s="5" t="s">
        <v>860</v>
      </c>
      <c r="H410" s="7"/>
      <c r="I410" s="7"/>
    </row>
    <row r="411" spans="1:9" x14ac:dyDescent="0.25">
      <c r="A411" s="4" t="str">
        <f>"24482"</f>
        <v>24482</v>
      </c>
      <c r="B411" s="5">
        <v>6</v>
      </c>
      <c r="C411" s="4" t="s">
        <v>8</v>
      </c>
      <c r="D411" s="6">
        <v>4</v>
      </c>
      <c r="E411" s="4" t="s">
        <v>7</v>
      </c>
      <c r="F411" s="6" t="s">
        <v>257</v>
      </c>
      <c r="G411" s="5" t="s">
        <v>594</v>
      </c>
      <c r="H411" s="7"/>
      <c r="I411" s="7"/>
    </row>
    <row r="412" spans="1:9" ht="30" x14ac:dyDescent="0.25">
      <c r="A412" s="4"/>
      <c r="B412" s="5"/>
      <c r="C412" s="4"/>
      <c r="D412" s="6" t="s">
        <v>886</v>
      </c>
      <c r="E412" s="4"/>
      <c r="F412" s="6"/>
      <c r="G412" s="5" t="s">
        <v>861</v>
      </c>
      <c r="H412" s="7"/>
      <c r="I412" s="7"/>
    </row>
    <row r="413" spans="1:9" x14ac:dyDescent="0.25">
      <c r="A413" s="4" t="str">
        <f>"24610"</f>
        <v>24610</v>
      </c>
      <c r="B413" s="5">
        <v>2</v>
      </c>
      <c r="C413" s="4" t="s">
        <v>8</v>
      </c>
      <c r="D413" s="6">
        <v>2</v>
      </c>
      <c r="E413" s="4" t="s">
        <v>592</v>
      </c>
      <c r="F413" s="6" t="s">
        <v>595</v>
      </c>
      <c r="G413" s="5" t="s">
        <v>596</v>
      </c>
      <c r="H413" s="7"/>
      <c r="I413" s="7"/>
    </row>
    <row r="414" spans="1:9" ht="30" x14ac:dyDescent="0.25">
      <c r="A414" s="4"/>
      <c r="B414" s="5"/>
      <c r="C414" s="4"/>
      <c r="D414" s="6" t="s">
        <v>886</v>
      </c>
      <c r="E414" s="4"/>
      <c r="F414" s="6"/>
      <c r="G414" s="5" t="s">
        <v>862</v>
      </c>
      <c r="H414" s="7"/>
      <c r="I414" s="7"/>
    </row>
    <row r="415" spans="1:9" x14ac:dyDescent="0.25">
      <c r="A415" s="4" t="str">
        <f>"24618"</f>
        <v>24618</v>
      </c>
      <c r="B415" s="5">
        <v>2</v>
      </c>
      <c r="C415" s="4" t="s">
        <v>8</v>
      </c>
      <c r="D415" s="6">
        <v>4</v>
      </c>
      <c r="E415" s="4" t="s">
        <v>592</v>
      </c>
      <c r="F415" s="6" t="s">
        <v>597</v>
      </c>
      <c r="G415" s="5" t="s">
        <v>598</v>
      </c>
      <c r="H415" s="7"/>
      <c r="I415" s="7"/>
    </row>
    <row r="416" spans="1:9" ht="30" x14ac:dyDescent="0.25">
      <c r="A416" s="4"/>
      <c r="B416" s="5"/>
      <c r="C416" s="4"/>
      <c r="D416" s="6" t="s">
        <v>886</v>
      </c>
      <c r="E416" s="4"/>
      <c r="F416" s="6"/>
      <c r="G416" s="5" t="s">
        <v>863</v>
      </c>
      <c r="H416" s="7"/>
      <c r="I416" s="7"/>
    </row>
    <row r="417" spans="1:9" x14ac:dyDescent="0.25">
      <c r="A417" s="4" t="str">
        <f>"24624"</f>
        <v>24624</v>
      </c>
      <c r="B417" s="5">
        <v>6</v>
      </c>
      <c r="C417" s="4" t="s">
        <v>6</v>
      </c>
      <c r="D417" s="6">
        <v>6</v>
      </c>
      <c r="E417" s="4" t="s">
        <v>463</v>
      </c>
      <c r="F417" s="6" t="s">
        <v>257</v>
      </c>
      <c r="G417" s="5" t="s">
        <v>599</v>
      </c>
      <c r="H417" s="7"/>
      <c r="I417" s="7"/>
    </row>
    <row r="418" spans="1:9" x14ac:dyDescent="0.25">
      <c r="A418" s="4" t="str">
        <f>"24639"</f>
        <v>24639</v>
      </c>
      <c r="B418" s="5">
        <v>8</v>
      </c>
      <c r="C418" s="4" t="s">
        <v>6</v>
      </c>
      <c r="D418" s="6">
        <v>12</v>
      </c>
      <c r="E418" s="4" t="s">
        <v>200</v>
      </c>
      <c r="F418" s="6" t="s">
        <v>10</v>
      </c>
      <c r="G418" s="5" t="s">
        <v>600</v>
      </c>
      <c r="H418" s="7"/>
      <c r="I418" s="7"/>
    </row>
    <row r="419" spans="1:9" x14ac:dyDescent="0.25">
      <c r="A419" s="4" t="str">
        <f>"24870"</f>
        <v>24870</v>
      </c>
      <c r="B419" s="5">
        <v>3</v>
      </c>
      <c r="C419" s="4" t="s">
        <v>6</v>
      </c>
      <c r="D419" s="6">
        <v>30</v>
      </c>
      <c r="E419" s="4" t="s">
        <v>284</v>
      </c>
      <c r="F419" s="6" t="s">
        <v>285</v>
      </c>
      <c r="G419" s="5" t="s">
        <v>286</v>
      </c>
      <c r="H419" s="7"/>
      <c r="I419" s="7"/>
    </row>
    <row r="420" spans="1:9" ht="30" x14ac:dyDescent="0.25">
      <c r="A420" s="4" t="str">
        <f>"25195"</f>
        <v>25195</v>
      </c>
      <c r="B420" s="5">
        <v>2</v>
      </c>
      <c r="C420" s="4" t="s">
        <v>6</v>
      </c>
      <c r="D420" s="6">
        <v>24</v>
      </c>
      <c r="E420" s="4" t="s">
        <v>221</v>
      </c>
      <c r="F420" s="6" t="s">
        <v>601</v>
      </c>
      <c r="G420" s="5" t="s">
        <v>602</v>
      </c>
      <c r="H420" s="7"/>
      <c r="I420" s="7"/>
    </row>
    <row r="421" spans="1:9" ht="30" x14ac:dyDescent="0.25">
      <c r="A421" s="4" t="str">
        <f>"25200"</f>
        <v>25200</v>
      </c>
      <c r="B421" s="5">
        <v>2</v>
      </c>
      <c r="C421" s="4" t="s">
        <v>6</v>
      </c>
      <c r="D421" s="6">
        <v>24</v>
      </c>
      <c r="E421" s="4" t="s">
        <v>484</v>
      </c>
      <c r="F421" s="6" t="s">
        <v>601</v>
      </c>
      <c r="G421" s="5" t="s">
        <v>603</v>
      </c>
      <c r="H421" s="7"/>
      <c r="I421" s="7"/>
    </row>
    <row r="422" spans="1:9" ht="30" x14ac:dyDescent="0.25">
      <c r="A422" s="4" t="str">
        <f>"25620"</f>
        <v>25620</v>
      </c>
      <c r="B422" s="5">
        <v>4</v>
      </c>
      <c r="C422" s="4" t="s">
        <v>8</v>
      </c>
      <c r="D422" s="6">
        <v>12</v>
      </c>
      <c r="E422" s="4" t="s">
        <v>67</v>
      </c>
      <c r="F422" s="6" t="s">
        <v>182</v>
      </c>
      <c r="G422" s="5" t="s">
        <v>604</v>
      </c>
      <c r="H422" s="7"/>
      <c r="I422" s="7"/>
    </row>
    <row r="423" spans="1:9" ht="30" x14ac:dyDescent="0.25">
      <c r="A423" s="4"/>
      <c r="B423" s="5"/>
      <c r="C423" s="4"/>
      <c r="D423" s="6" t="s">
        <v>886</v>
      </c>
      <c r="E423" s="4"/>
      <c r="F423" s="6"/>
      <c r="G423" s="5" t="s">
        <v>864</v>
      </c>
      <c r="H423" s="7"/>
      <c r="I423" s="7"/>
    </row>
    <row r="424" spans="1:9" ht="30" x14ac:dyDescent="0.25">
      <c r="A424" s="4" t="str">
        <f>"25770"</f>
        <v>25770</v>
      </c>
      <c r="B424" s="5">
        <v>4</v>
      </c>
      <c r="C424" s="4" t="s">
        <v>6</v>
      </c>
      <c r="D424" s="6">
        <v>12</v>
      </c>
      <c r="E424" s="4" t="s">
        <v>463</v>
      </c>
      <c r="F424" s="6" t="s">
        <v>182</v>
      </c>
      <c r="G424" s="5" t="s">
        <v>605</v>
      </c>
      <c r="H424" s="7"/>
      <c r="I424" s="7"/>
    </row>
    <row r="425" spans="1:9" x14ac:dyDescent="0.25">
      <c r="A425" s="4" t="str">
        <f>"26052"</f>
        <v>26052</v>
      </c>
      <c r="B425" s="5">
        <v>2</v>
      </c>
      <c r="C425" s="4" t="s">
        <v>6</v>
      </c>
      <c r="D425" s="6">
        <v>6</v>
      </c>
      <c r="E425" s="4" t="s">
        <v>200</v>
      </c>
      <c r="F425" s="6" t="s">
        <v>276</v>
      </c>
      <c r="G425" s="5" t="s">
        <v>606</v>
      </c>
      <c r="H425" s="7"/>
      <c r="I425" s="7"/>
    </row>
    <row r="426" spans="1:9" ht="30" x14ac:dyDescent="0.25">
      <c r="A426" s="4" t="str">
        <f>"26120"</f>
        <v>26120</v>
      </c>
      <c r="B426" s="5">
        <v>2</v>
      </c>
      <c r="C426" s="4" t="s">
        <v>6</v>
      </c>
      <c r="D426" s="6">
        <v>12</v>
      </c>
      <c r="E426" s="4" t="s">
        <v>465</v>
      </c>
      <c r="F426" s="6" t="s">
        <v>607</v>
      </c>
      <c r="G426" s="5" t="s">
        <v>608</v>
      </c>
      <c r="H426" s="7"/>
      <c r="I426" s="7"/>
    </row>
    <row r="427" spans="1:9" ht="30" x14ac:dyDescent="0.25">
      <c r="A427" s="4" t="str">
        <f>"26150"</f>
        <v>26150</v>
      </c>
      <c r="B427" s="5">
        <v>2</v>
      </c>
      <c r="C427" s="4" t="s">
        <v>6</v>
      </c>
      <c r="D427" s="6">
        <v>6</v>
      </c>
      <c r="E427" s="4" t="s">
        <v>200</v>
      </c>
      <c r="F427" s="6" t="s">
        <v>607</v>
      </c>
      <c r="G427" s="5" t="s">
        <v>609</v>
      </c>
      <c r="H427" s="7"/>
      <c r="I427" s="7"/>
    </row>
    <row r="428" spans="1:9" ht="30" x14ac:dyDescent="0.25">
      <c r="A428" s="4" t="str">
        <f>"26160"</f>
        <v>26160</v>
      </c>
      <c r="B428" s="5">
        <v>2</v>
      </c>
      <c r="C428" s="4" t="s">
        <v>6</v>
      </c>
      <c r="D428" s="6">
        <v>6</v>
      </c>
      <c r="E428" s="4" t="s">
        <v>200</v>
      </c>
      <c r="F428" s="6" t="s">
        <v>607</v>
      </c>
      <c r="G428" s="5" t="s">
        <v>610</v>
      </c>
      <c r="H428" s="7"/>
      <c r="I428" s="7"/>
    </row>
    <row r="429" spans="1:9" ht="30" x14ac:dyDescent="0.25">
      <c r="A429" s="4" t="str">
        <f>"26170"</f>
        <v>26170</v>
      </c>
      <c r="B429" s="5">
        <v>2</v>
      </c>
      <c r="C429" s="4" t="s">
        <v>6</v>
      </c>
      <c r="D429" s="6">
        <v>12</v>
      </c>
      <c r="E429" s="4" t="s">
        <v>465</v>
      </c>
      <c r="F429" s="6" t="s">
        <v>607</v>
      </c>
      <c r="G429" s="5" t="s">
        <v>611</v>
      </c>
      <c r="H429" s="7"/>
      <c r="I429" s="7"/>
    </row>
    <row r="430" spans="1:9" x14ac:dyDescent="0.25">
      <c r="A430" s="4" t="str">
        <f>"29750"</f>
        <v>29750</v>
      </c>
      <c r="B430" s="5">
        <v>2</v>
      </c>
      <c r="C430" s="4" t="s">
        <v>8</v>
      </c>
      <c r="D430" s="6">
        <v>4</v>
      </c>
      <c r="E430" s="4" t="s">
        <v>198</v>
      </c>
      <c r="F430" s="6" t="s">
        <v>612</v>
      </c>
      <c r="G430" s="5" t="s">
        <v>613</v>
      </c>
      <c r="H430" s="7"/>
      <c r="I430" s="7"/>
    </row>
    <row r="431" spans="1:9" ht="30" x14ac:dyDescent="0.25">
      <c r="A431" s="4"/>
      <c r="B431" s="5"/>
      <c r="C431" s="4"/>
      <c r="D431" s="6" t="s">
        <v>886</v>
      </c>
      <c r="E431" s="4"/>
      <c r="F431" s="6"/>
      <c r="G431" s="5" t="s">
        <v>865</v>
      </c>
      <c r="H431" s="7"/>
      <c r="I431" s="7"/>
    </row>
    <row r="432" spans="1:9" ht="30" x14ac:dyDescent="0.25">
      <c r="A432" s="4" t="str">
        <f>"30660"</f>
        <v>30660</v>
      </c>
      <c r="B432" s="5">
        <v>2</v>
      </c>
      <c r="C432" s="4" t="s">
        <v>6</v>
      </c>
      <c r="D432" s="6">
        <v>12</v>
      </c>
      <c r="E432" s="4" t="s">
        <v>614</v>
      </c>
      <c r="F432" s="6" t="s">
        <v>615</v>
      </c>
      <c r="G432" s="5" t="s">
        <v>616</v>
      </c>
      <c r="H432" s="7"/>
      <c r="I432" s="7"/>
    </row>
    <row r="433" spans="1:9" ht="30" x14ac:dyDescent="0.25">
      <c r="A433" s="4" t="str">
        <f>"30665"</f>
        <v>30665</v>
      </c>
      <c r="B433" s="5">
        <v>2</v>
      </c>
      <c r="C433" s="4" t="s">
        <v>6</v>
      </c>
      <c r="D433" s="6">
        <v>18</v>
      </c>
      <c r="E433" s="4" t="s">
        <v>617</v>
      </c>
      <c r="F433" s="6" t="s">
        <v>618</v>
      </c>
      <c r="G433" s="5" t="s">
        <v>619</v>
      </c>
      <c r="H433" s="7"/>
      <c r="I433" s="7"/>
    </row>
    <row r="434" spans="1:9" x14ac:dyDescent="0.25">
      <c r="A434" s="4" t="str">
        <f>"31200"</f>
        <v>31200</v>
      </c>
      <c r="B434" s="5">
        <v>2</v>
      </c>
      <c r="C434" s="4" t="s">
        <v>8</v>
      </c>
      <c r="D434" s="6">
        <v>4</v>
      </c>
      <c r="E434" s="4" t="s">
        <v>198</v>
      </c>
      <c r="F434" s="6" t="s">
        <v>612</v>
      </c>
      <c r="G434" s="5" t="s">
        <v>620</v>
      </c>
      <c r="H434" s="7"/>
      <c r="I434" s="7"/>
    </row>
    <row r="435" spans="1:9" ht="30" x14ac:dyDescent="0.25">
      <c r="A435" s="4"/>
      <c r="B435" s="5"/>
      <c r="C435" s="4"/>
      <c r="D435" s="6" t="s">
        <v>886</v>
      </c>
      <c r="E435" s="4"/>
      <c r="F435" s="6"/>
      <c r="G435" s="5" t="s">
        <v>866</v>
      </c>
      <c r="H435" s="7"/>
      <c r="I435" s="7"/>
    </row>
    <row r="436" spans="1:9" x14ac:dyDescent="0.25">
      <c r="A436" s="4" t="str">
        <f>"31499"</f>
        <v>31499</v>
      </c>
      <c r="B436" s="5">
        <v>2</v>
      </c>
      <c r="C436" s="4" t="s">
        <v>8</v>
      </c>
      <c r="D436" s="6">
        <v>4</v>
      </c>
      <c r="E436" s="4" t="s">
        <v>67</v>
      </c>
      <c r="F436" s="6" t="s">
        <v>447</v>
      </c>
      <c r="G436" s="5" t="s">
        <v>621</v>
      </c>
      <c r="H436" s="7"/>
      <c r="I436" s="7"/>
    </row>
    <row r="437" spans="1:9" ht="30" x14ac:dyDescent="0.25">
      <c r="A437" s="4"/>
      <c r="B437" s="5"/>
      <c r="C437" s="4"/>
      <c r="D437" s="6" t="s">
        <v>886</v>
      </c>
      <c r="E437" s="4"/>
      <c r="F437" s="6"/>
      <c r="G437" s="5" t="s">
        <v>867</v>
      </c>
      <c r="H437" s="7"/>
      <c r="I437" s="7"/>
    </row>
    <row r="438" spans="1:9" ht="30" x14ac:dyDescent="0.25">
      <c r="A438" s="4" t="str">
        <f>"31625"</f>
        <v>31625</v>
      </c>
      <c r="B438" s="5">
        <v>2</v>
      </c>
      <c r="C438" s="4" t="s">
        <v>8</v>
      </c>
      <c r="D438" s="6">
        <v>6</v>
      </c>
      <c r="E438" s="4" t="s">
        <v>200</v>
      </c>
      <c r="F438" s="6" t="s">
        <v>622</v>
      </c>
      <c r="G438" s="5" t="s">
        <v>623</v>
      </c>
      <c r="H438" s="7"/>
      <c r="I438" s="7"/>
    </row>
    <row r="439" spans="1:9" ht="30" x14ac:dyDescent="0.25">
      <c r="A439" s="4"/>
      <c r="B439" s="5"/>
      <c r="C439" s="4"/>
      <c r="D439" s="6" t="s">
        <v>886</v>
      </c>
      <c r="E439" s="4"/>
      <c r="F439" s="6"/>
      <c r="G439" s="5" t="s">
        <v>868</v>
      </c>
      <c r="H439" s="7"/>
      <c r="I439" s="7"/>
    </row>
    <row r="440" spans="1:9" x14ac:dyDescent="0.25">
      <c r="A440" s="4" t="str">
        <f>"32403"</f>
        <v>32403</v>
      </c>
      <c r="B440" s="5">
        <v>2</v>
      </c>
      <c r="C440" s="4" t="s">
        <v>8</v>
      </c>
      <c r="D440" s="6">
        <v>6</v>
      </c>
      <c r="E440" s="4" t="s">
        <v>624</v>
      </c>
      <c r="F440" s="6" t="s">
        <v>625</v>
      </c>
      <c r="G440" s="5" t="s">
        <v>626</v>
      </c>
      <c r="H440" s="7"/>
      <c r="I440" s="7"/>
    </row>
    <row r="441" spans="1:9" ht="30" x14ac:dyDescent="0.25">
      <c r="A441" s="4"/>
      <c r="B441" s="5"/>
      <c r="C441" s="4"/>
      <c r="D441" s="6" t="s">
        <v>886</v>
      </c>
      <c r="E441" s="4"/>
      <c r="F441" s="6"/>
      <c r="G441" s="5" t="s">
        <v>869</v>
      </c>
      <c r="H441" s="7"/>
      <c r="I441" s="7"/>
    </row>
    <row r="442" spans="1:9" ht="30" x14ac:dyDescent="0.25">
      <c r="A442" s="4" t="str">
        <f>"32445"</f>
        <v>32445</v>
      </c>
      <c r="B442" s="5">
        <v>2</v>
      </c>
      <c r="C442" s="4" t="s">
        <v>6</v>
      </c>
      <c r="D442" s="6">
        <v>6</v>
      </c>
      <c r="E442" s="4" t="s">
        <v>500</v>
      </c>
      <c r="F442" s="6" t="s">
        <v>627</v>
      </c>
      <c r="G442" s="5" t="s">
        <v>628</v>
      </c>
      <c r="H442" s="7"/>
      <c r="I442" s="7"/>
    </row>
    <row r="443" spans="1:9" ht="30" x14ac:dyDescent="0.25">
      <c r="A443" s="4" t="str">
        <f>"33145"</f>
        <v>33145</v>
      </c>
      <c r="B443" s="5">
        <v>2</v>
      </c>
      <c r="C443" s="4" t="s">
        <v>6</v>
      </c>
      <c r="D443" s="6">
        <v>24</v>
      </c>
      <c r="E443" s="4" t="s">
        <v>629</v>
      </c>
      <c r="F443" s="6" t="s">
        <v>630</v>
      </c>
      <c r="G443" s="5" t="s">
        <v>631</v>
      </c>
      <c r="H443" s="7"/>
      <c r="I443" s="7"/>
    </row>
    <row r="444" spans="1:9" ht="30" x14ac:dyDescent="0.25">
      <c r="A444" s="4" t="str">
        <f>"34196"</f>
        <v>34196</v>
      </c>
      <c r="B444" s="5">
        <v>4</v>
      </c>
      <c r="C444" s="4" t="s">
        <v>6</v>
      </c>
      <c r="D444" s="6">
        <v>2</v>
      </c>
      <c r="E444" s="4" t="s">
        <v>7</v>
      </c>
      <c r="F444" s="6" t="s">
        <v>632</v>
      </c>
      <c r="G444" s="5" t="s">
        <v>633</v>
      </c>
      <c r="H444" s="7"/>
      <c r="I444" s="7"/>
    </row>
    <row r="445" spans="1:9" ht="30" x14ac:dyDescent="0.25">
      <c r="A445" s="4" t="str">
        <f>"34643"</f>
        <v>34643</v>
      </c>
      <c r="B445" s="5">
        <v>4</v>
      </c>
      <c r="C445" s="4" t="s">
        <v>6</v>
      </c>
      <c r="D445" s="6">
        <v>2</v>
      </c>
      <c r="E445" s="4" t="s">
        <v>7</v>
      </c>
      <c r="F445" s="6" t="s">
        <v>312</v>
      </c>
      <c r="G445" s="5" t="s">
        <v>634</v>
      </c>
      <c r="H445" s="7"/>
      <c r="I445" s="7"/>
    </row>
    <row r="446" spans="1:9" ht="30" x14ac:dyDescent="0.25">
      <c r="A446" s="4" t="str">
        <f>"35016"</f>
        <v>35016</v>
      </c>
      <c r="B446" s="5">
        <v>4</v>
      </c>
      <c r="C446" s="4" t="s">
        <v>6</v>
      </c>
      <c r="D446" s="6">
        <v>113</v>
      </c>
      <c r="E446" s="4" t="s">
        <v>635</v>
      </c>
      <c r="F446" s="6" t="s">
        <v>302</v>
      </c>
      <c r="G446" s="5" t="s">
        <v>636</v>
      </c>
      <c r="H446" s="7"/>
      <c r="I446" s="7"/>
    </row>
    <row r="447" spans="1:9" ht="30" x14ac:dyDescent="0.25">
      <c r="A447" s="4" t="str">
        <f>"35080"</f>
        <v>35080</v>
      </c>
      <c r="B447" s="5">
        <v>4</v>
      </c>
      <c r="C447" s="4" t="s">
        <v>6</v>
      </c>
      <c r="D447" s="6">
        <v>68</v>
      </c>
      <c r="E447" s="4" t="s">
        <v>637</v>
      </c>
      <c r="F447" s="6" t="s">
        <v>302</v>
      </c>
      <c r="G447" s="5" t="s">
        <v>638</v>
      </c>
      <c r="H447" s="7"/>
      <c r="I447" s="7"/>
    </row>
    <row r="448" spans="1:9" ht="30" x14ac:dyDescent="0.25">
      <c r="A448" s="4" t="str">
        <f>"35273"</f>
        <v>35273</v>
      </c>
      <c r="B448" s="5">
        <v>4</v>
      </c>
      <c r="C448" s="4" t="s">
        <v>6</v>
      </c>
      <c r="D448" s="6">
        <v>4</v>
      </c>
      <c r="E448" s="4" t="s">
        <v>79</v>
      </c>
      <c r="F448" s="6" t="s">
        <v>312</v>
      </c>
      <c r="G448" s="5" t="s">
        <v>639</v>
      </c>
      <c r="H448" s="7"/>
      <c r="I448" s="7"/>
    </row>
    <row r="449" spans="1:9" ht="30" x14ac:dyDescent="0.25">
      <c r="A449" s="4" t="str">
        <f>"38822"</f>
        <v>38822</v>
      </c>
      <c r="B449" s="5">
        <v>4</v>
      </c>
      <c r="C449" s="4" t="s">
        <v>8</v>
      </c>
      <c r="D449" s="6">
        <v>12</v>
      </c>
      <c r="E449" s="4" t="s">
        <v>25</v>
      </c>
      <c r="F449" s="6" t="s">
        <v>314</v>
      </c>
      <c r="G449" s="5" t="s">
        <v>640</v>
      </c>
      <c r="H449" s="7"/>
      <c r="I449" s="7"/>
    </row>
    <row r="450" spans="1:9" ht="30" x14ac:dyDescent="0.25">
      <c r="A450" s="4"/>
      <c r="B450" s="5"/>
      <c r="C450" s="4"/>
      <c r="D450" s="6" t="s">
        <v>886</v>
      </c>
      <c r="E450" s="4"/>
      <c r="F450" s="6"/>
      <c r="G450" s="5" t="s">
        <v>870</v>
      </c>
      <c r="H450" s="7"/>
      <c r="I450" s="7"/>
    </row>
    <row r="451" spans="1:9" x14ac:dyDescent="0.25">
      <c r="A451" s="4" t="str">
        <f>"39061"</f>
        <v>39061</v>
      </c>
      <c r="B451" s="5">
        <v>4</v>
      </c>
      <c r="C451" s="4" t="s">
        <v>6</v>
      </c>
      <c r="D451" s="6">
        <v>1</v>
      </c>
      <c r="E451" s="4" t="s">
        <v>250</v>
      </c>
      <c r="F451" s="6" t="s">
        <v>17</v>
      </c>
      <c r="G451" s="5" t="s">
        <v>641</v>
      </c>
      <c r="H451" s="7"/>
      <c r="I451" s="7"/>
    </row>
    <row r="452" spans="1:9" x14ac:dyDescent="0.25">
      <c r="A452" s="4" t="str">
        <f>"39087"</f>
        <v>39087</v>
      </c>
      <c r="B452" s="5">
        <v>6</v>
      </c>
      <c r="C452" s="4" t="s">
        <v>6</v>
      </c>
      <c r="D452" s="6">
        <v>1</v>
      </c>
      <c r="E452" s="4" t="s">
        <v>250</v>
      </c>
      <c r="F452" s="6" t="s">
        <v>17</v>
      </c>
      <c r="G452" s="5" t="s">
        <v>642</v>
      </c>
      <c r="H452" s="7"/>
      <c r="I452" s="7"/>
    </row>
    <row r="453" spans="1:9" x14ac:dyDescent="0.25">
      <c r="A453" s="4" t="str">
        <f>"39090"</f>
        <v>39090</v>
      </c>
      <c r="B453" s="5">
        <v>5</v>
      </c>
      <c r="C453" s="4" t="s">
        <v>6</v>
      </c>
      <c r="D453" s="6">
        <v>1</v>
      </c>
      <c r="E453" s="4" t="s">
        <v>250</v>
      </c>
      <c r="F453" s="6" t="s">
        <v>17</v>
      </c>
      <c r="G453" s="5" t="s">
        <v>643</v>
      </c>
      <c r="H453" s="7"/>
      <c r="I453" s="7"/>
    </row>
    <row r="454" spans="1:9" x14ac:dyDescent="0.25">
      <c r="A454" s="4" t="str">
        <f>"39100"</f>
        <v>39100</v>
      </c>
      <c r="B454" s="5">
        <v>5</v>
      </c>
      <c r="C454" s="4" t="s">
        <v>6</v>
      </c>
      <c r="D454" s="6">
        <v>1</v>
      </c>
      <c r="E454" s="4" t="s">
        <v>250</v>
      </c>
      <c r="F454" s="6" t="s">
        <v>17</v>
      </c>
      <c r="G454" s="5" t="s">
        <v>644</v>
      </c>
      <c r="H454" s="7"/>
      <c r="I454" s="7"/>
    </row>
    <row r="455" spans="1:9" x14ac:dyDescent="0.25">
      <c r="A455" s="4" t="str">
        <f>"39131"</f>
        <v>39131</v>
      </c>
      <c r="B455" s="5">
        <v>2</v>
      </c>
      <c r="C455" s="4" t="s">
        <v>6</v>
      </c>
      <c r="D455" s="6">
        <v>1</v>
      </c>
      <c r="E455" s="4" t="s">
        <v>250</v>
      </c>
      <c r="F455" s="6" t="s">
        <v>17</v>
      </c>
      <c r="G455" s="5" t="s">
        <v>645</v>
      </c>
      <c r="H455" s="7"/>
      <c r="I455" s="7"/>
    </row>
    <row r="456" spans="1:9" x14ac:dyDescent="0.25">
      <c r="A456" s="4" t="str">
        <f>"39205"</f>
        <v>39205</v>
      </c>
      <c r="B456" s="5">
        <v>4</v>
      </c>
      <c r="C456" s="4" t="s">
        <v>6</v>
      </c>
      <c r="D456" s="6">
        <v>1</v>
      </c>
      <c r="E456" s="4" t="s">
        <v>646</v>
      </c>
      <c r="F456" s="6" t="s">
        <v>17</v>
      </c>
      <c r="G456" s="5" t="s">
        <v>647</v>
      </c>
      <c r="H456" s="7"/>
      <c r="I456" s="7"/>
    </row>
    <row r="457" spans="1:9" x14ac:dyDescent="0.25">
      <c r="A457" s="4" t="str">
        <f>"39220"</f>
        <v>39220</v>
      </c>
      <c r="B457" s="5">
        <v>8</v>
      </c>
      <c r="C457" s="4" t="s">
        <v>6</v>
      </c>
      <c r="D457" s="6">
        <v>1</v>
      </c>
      <c r="E457" s="4" t="s">
        <v>89</v>
      </c>
      <c r="F457" s="6" t="s">
        <v>17</v>
      </c>
      <c r="G457" s="5" t="s">
        <v>648</v>
      </c>
      <c r="H457" s="7"/>
      <c r="I457" s="7"/>
    </row>
    <row r="458" spans="1:9" x14ac:dyDescent="0.25">
      <c r="A458" s="4" t="str">
        <f>"39222"</f>
        <v>39222</v>
      </c>
      <c r="B458" s="5">
        <v>2</v>
      </c>
      <c r="C458" s="4" t="s">
        <v>6</v>
      </c>
      <c r="D458" s="6">
        <v>1</v>
      </c>
      <c r="E458" s="4" t="s">
        <v>59</v>
      </c>
      <c r="F458" s="6" t="s">
        <v>17</v>
      </c>
      <c r="G458" s="5" t="s">
        <v>649</v>
      </c>
      <c r="H458" s="7"/>
      <c r="I458" s="7"/>
    </row>
    <row r="459" spans="1:9" x14ac:dyDescent="0.25">
      <c r="A459" s="4" t="str">
        <f>"45550"</f>
        <v>45550</v>
      </c>
      <c r="B459" s="5">
        <v>2</v>
      </c>
      <c r="C459" s="4" t="s">
        <v>6</v>
      </c>
      <c r="D459" s="6">
        <v>24</v>
      </c>
      <c r="E459" s="4" t="s">
        <v>650</v>
      </c>
      <c r="F459" s="6" t="s">
        <v>651</v>
      </c>
      <c r="G459" s="5" t="s">
        <v>652</v>
      </c>
      <c r="H459" s="7"/>
      <c r="I459" s="7"/>
    </row>
    <row r="460" spans="1:9" x14ac:dyDescent="0.25">
      <c r="A460" s="4" t="str">
        <f>"45635"</f>
        <v>45635</v>
      </c>
      <c r="B460" s="5">
        <v>2</v>
      </c>
      <c r="C460" s="4" t="s">
        <v>8</v>
      </c>
      <c r="D460" s="6">
        <v>2</v>
      </c>
      <c r="E460" s="4" t="s">
        <v>7</v>
      </c>
      <c r="F460" s="6" t="s">
        <v>653</v>
      </c>
      <c r="G460" s="5" t="s">
        <v>654</v>
      </c>
      <c r="H460" s="7"/>
      <c r="I460" s="7"/>
    </row>
    <row r="461" spans="1:9" x14ac:dyDescent="0.25">
      <c r="A461" s="4"/>
      <c r="B461" s="5"/>
      <c r="C461" s="4"/>
      <c r="D461" s="6" t="s">
        <v>886</v>
      </c>
      <c r="E461" s="4"/>
      <c r="F461" s="6"/>
      <c r="G461" s="5" t="s">
        <v>871</v>
      </c>
      <c r="H461" s="7"/>
      <c r="I461" s="7"/>
    </row>
    <row r="462" spans="1:9" x14ac:dyDescent="0.25">
      <c r="A462" s="4" t="str">
        <f>"45655"</f>
        <v>45655</v>
      </c>
      <c r="B462" s="5">
        <v>2</v>
      </c>
      <c r="C462" s="4" t="s">
        <v>8</v>
      </c>
      <c r="D462" s="6">
        <v>2</v>
      </c>
      <c r="E462" s="4" t="s">
        <v>7</v>
      </c>
      <c r="F462" s="6" t="s">
        <v>653</v>
      </c>
      <c r="G462" s="5" t="s">
        <v>655</v>
      </c>
      <c r="H462" s="7"/>
      <c r="I462" s="7"/>
    </row>
    <row r="463" spans="1:9" ht="30" x14ac:dyDescent="0.25">
      <c r="A463" s="4"/>
      <c r="B463" s="5"/>
      <c r="C463" s="4"/>
      <c r="D463" s="6" t="s">
        <v>886</v>
      </c>
      <c r="E463" s="4"/>
      <c r="F463" s="6"/>
      <c r="G463" s="5" t="s">
        <v>872</v>
      </c>
      <c r="H463" s="7"/>
      <c r="I463" s="7"/>
    </row>
    <row r="464" spans="1:9" x14ac:dyDescent="0.25">
      <c r="A464" s="4" t="str">
        <f>"45730"</f>
        <v>45730</v>
      </c>
      <c r="B464" s="5">
        <v>2</v>
      </c>
      <c r="C464" s="4" t="s">
        <v>6</v>
      </c>
      <c r="D464" s="6">
        <v>2</v>
      </c>
      <c r="E464" s="4" t="s">
        <v>7</v>
      </c>
      <c r="F464" s="6" t="s">
        <v>653</v>
      </c>
      <c r="G464" s="5" t="s">
        <v>656</v>
      </c>
      <c r="H464" s="7"/>
      <c r="I464" s="7"/>
    </row>
    <row r="465" spans="1:9" ht="30" x14ac:dyDescent="0.25">
      <c r="A465" s="4" t="str">
        <f>"45765"</f>
        <v>45765</v>
      </c>
      <c r="B465" s="5">
        <v>2</v>
      </c>
      <c r="C465" s="4" t="s">
        <v>6</v>
      </c>
      <c r="D465" s="6">
        <v>1</v>
      </c>
      <c r="E465" s="4" t="s">
        <v>89</v>
      </c>
      <c r="F465" s="6" t="s">
        <v>653</v>
      </c>
      <c r="G465" s="5" t="s">
        <v>657</v>
      </c>
      <c r="H465" s="7"/>
      <c r="I465" s="7"/>
    </row>
    <row r="466" spans="1:9" ht="30" x14ac:dyDescent="0.25">
      <c r="A466" s="4" t="str">
        <f>"49523"</f>
        <v>49523</v>
      </c>
      <c r="B466" s="5">
        <v>2</v>
      </c>
      <c r="C466" s="4" t="s">
        <v>6</v>
      </c>
      <c r="D466" s="6">
        <v>8</v>
      </c>
      <c r="E466" s="4" t="s">
        <v>278</v>
      </c>
      <c r="F466" s="6" t="s">
        <v>658</v>
      </c>
      <c r="G466" s="5" t="s">
        <v>659</v>
      </c>
      <c r="H466" s="7"/>
      <c r="I466" s="7"/>
    </row>
    <row r="467" spans="1:9" ht="30" x14ac:dyDescent="0.25">
      <c r="A467" s="4" t="str">
        <f>"50123"</f>
        <v>50123</v>
      </c>
      <c r="B467" s="5">
        <v>2</v>
      </c>
      <c r="C467" s="4" t="s">
        <v>6</v>
      </c>
      <c r="D467" s="6">
        <v>12</v>
      </c>
      <c r="E467" s="4" t="s">
        <v>660</v>
      </c>
      <c r="F467" s="6" t="s">
        <v>658</v>
      </c>
      <c r="G467" s="5" t="s">
        <v>661</v>
      </c>
      <c r="H467" s="7"/>
      <c r="I467" s="7"/>
    </row>
    <row r="468" spans="1:9" ht="30" x14ac:dyDescent="0.25">
      <c r="A468" s="4" t="str">
        <f>"50167"</f>
        <v>50167</v>
      </c>
      <c r="B468" s="5">
        <v>2</v>
      </c>
      <c r="C468" s="4" t="s">
        <v>6</v>
      </c>
      <c r="D468" s="6">
        <v>40</v>
      </c>
      <c r="E468" s="4" t="s">
        <v>465</v>
      </c>
      <c r="F468" s="6" t="s">
        <v>662</v>
      </c>
      <c r="G468" s="5" t="s">
        <v>663</v>
      </c>
      <c r="H468" s="7"/>
      <c r="I468" s="7"/>
    </row>
    <row r="469" spans="1:9" ht="30" x14ac:dyDescent="0.25">
      <c r="A469" s="4" t="str">
        <f>"50277"</f>
        <v>50277</v>
      </c>
      <c r="B469" s="5">
        <v>8</v>
      </c>
      <c r="C469" s="4" t="s">
        <v>6</v>
      </c>
      <c r="D469" s="6">
        <v>24</v>
      </c>
      <c r="E469" s="4" t="s">
        <v>221</v>
      </c>
      <c r="F469" s="6" t="s">
        <v>664</v>
      </c>
      <c r="G469" s="5" t="s">
        <v>665</v>
      </c>
      <c r="H469" s="7"/>
      <c r="I469" s="7"/>
    </row>
    <row r="470" spans="1:9" ht="30" x14ac:dyDescent="0.25">
      <c r="A470" s="4" t="str">
        <f>"51069"</f>
        <v>51069</v>
      </c>
      <c r="B470" s="5">
        <v>2</v>
      </c>
      <c r="C470" s="4" t="s">
        <v>8</v>
      </c>
      <c r="D470" s="6">
        <v>8</v>
      </c>
      <c r="E470" s="4" t="s">
        <v>327</v>
      </c>
      <c r="F470" s="6" t="s">
        <v>666</v>
      </c>
      <c r="G470" s="5" t="s">
        <v>667</v>
      </c>
      <c r="H470" s="7"/>
      <c r="I470" s="7"/>
    </row>
    <row r="471" spans="1:9" ht="30" x14ac:dyDescent="0.25">
      <c r="A471" s="4"/>
      <c r="B471" s="5"/>
      <c r="C471" s="4"/>
      <c r="D471" s="6" t="s">
        <v>886</v>
      </c>
      <c r="E471" s="4"/>
      <c r="F471" s="6"/>
      <c r="G471" s="5" t="s">
        <v>873</v>
      </c>
      <c r="H471" s="7"/>
      <c r="I471" s="7"/>
    </row>
    <row r="472" spans="1:9" x14ac:dyDescent="0.25">
      <c r="A472" s="4" t="str">
        <f>"51198"</f>
        <v>51198</v>
      </c>
      <c r="B472" s="5">
        <v>2</v>
      </c>
      <c r="C472" s="4" t="s">
        <v>6</v>
      </c>
      <c r="D472" s="6">
        <v>8</v>
      </c>
      <c r="E472" s="4" t="s">
        <v>278</v>
      </c>
      <c r="F472" s="6" t="s">
        <v>658</v>
      </c>
      <c r="G472" s="5" t="s">
        <v>668</v>
      </c>
      <c r="H472" s="7"/>
      <c r="I472" s="7"/>
    </row>
    <row r="473" spans="1:9" ht="30" x14ac:dyDescent="0.25">
      <c r="A473" s="4" t="str">
        <f>"52375"</f>
        <v>52375</v>
      </c>
      <c r="B473" s="5">
        <v>2</v>
      </c>
      <c r="C473" s="4" t="s">
        <v>6</v>
      </c>
      <c r="D473" s="6">
        <v>20</v>
      </c>
      <c r="E473" s="4" t="s">
        <v>21</v>
      </c>
      <c r="F473" s="6" t="s">
        <v>669</v>
      </c>
      <c r="G473" s="5" t="s">
        <v>670</v>
      </c>
      <c r="H473" s="7"/>
      <c r="I473" s="7"/>
    </row>
    <row r="474" spans="1:9" x14ac:dyDescent="0.25">
      <c r="A474" s="4" t="str">
        <f>"52395"</f>
        <v>52395</v>
      </c>
      <c r="B474" s="5">
        <v>2</v>
      </c>
      <c r="C474" s="4" t="s">
        <v>6</v>
      </c>
      <c r="D474" s="6">
        <v>1</v>
      </c>
      <c r="E474" s="4" t="s">
        <v>86</v>
      </c>
      <c r="F474" s="6" t="s">
        <v>671</v>
      </c>
      <c r="G474" s="5" t="s">
        <v>672</v>
      </c>
      <c r="H474" s="7"/>
      <c r="I474" s="7"/>
    </row>
    <row r="475" spans="1:9" ht="30" x14ac:dyDescent="0.25">
      <c r="A475" s="4" t="str">
        <f>"52533"</f>
        <v>52533</v>
      </c>
      <c r="B475" s="5">
        <v>2</v>
      </c>
      <c r="C475" s="4" t="s">
        <v>6</v>
      </c>
      <c r="D475" s="6">
        <v>2</v>
      </c>
      <c r="E475" s="4" t="s">
        <v>673</v>
      </c>
      <c r="F475" s="6" t="s">
        <v>674</v>
      </c>
      <c r="G475" s="5" t="s">
        <v>675</v>
      </c>
      <c r="H475" s="7"/>
      <c r="I475" s="7"/>
    </row>
    <row r="476" spans="1:9" x14ac:dyDescent="0.25">
      <c r="A476" s="4" t="str">
        <f>"52535"</f>
        <v>52535</v>
      </c>
      <c r="B476" s="5">
        <v>2</v>
      </c>
      <c r="C476" s="4" t="s">
        <v>6</v>
      </c>
      <c r="D476" s="6">
        <v>2</v>
      </c>
      <c r="E476" s="4" t="s">
        <v>89</v>
      </c>
      <c r="F476" s="6" t="s">
        <v>671</v>
      </c>
      <c r="G476" s="5" t="s">
        <v>676</v>
      </c>
      <c r="H476" s="7"/>
      <c r="I476" s="7"/>
    </row>
    <row r="477" spans="1:9" ht="30" x14ac:dyDescent="0.25">
      <c r="A477" s="4" t="str">
        <f>"52561"</f>
        <v>52561</v>
      </c>
      <c r="B477" s="5">
        <v>2</v>
      </c>
      <c r="C477" s="4" t="s">
        <v>6</v>
      </c>
      <c r="D477" s="6">
        <v>12</v>
      </c>
      <c r="E477" s="4" t="s">
        <v>425</v>
      </c>
      <c r="F477" s="6" t="s">
        <v>674</v>
      </c>
      <c r="G477" s="5" t="s">
        <v>677</v>
      </c>
      <c r="H477" s="7"/>
      <c r="I477" s="7"/>
    </row>
    <row r="478" spans="1:9" x14ac:dyDescent="0.25">
      <c r="A478" s="4" t="str">
        <f>"52565"</f>
        <v>52565</v>
      </c>
      <c r="B478" s="5">
        <v>2</v>
      </c>
      <c r="C478" s="4" t="s">
        <v>6</v>
      </c>
      <c r="D478" s="6">
        <v>20</v>
      </c>
      <c r="E478" s="4" t="s">
        <v>21</v>
      </c>
      <c r="F478" s="6" t="s">
        <v>669</v>
      </c>
      <c r="G478" s="5" t="s">
        <v>678</v>
      </c>
      <c r="H478" s="7"/>
      <c r="I478" s="7"/>
    </row>
    <row r="479" spans="1:9" x14ac:dyDescent="0.25">
      <c r="A479" s="4" t="str">
        <f>"52650"</f>
        <v>52650</v>
      </c>
      <c r="B479" s="5">
        <v>2</v>
      </c>
      <c r="C479" s="4" t="s">
        <v>6</v>
      </c>
      <c r="D479" s="6">
        <v>20</v>
      </c>
      <c r="E479" s="4" t="s">
        <v>21</v>
      </c>
      <c r="F479" s="6" t="s">
        <v>669</v>
      </c>
      <c r="G479" s="5" t="s">
        <v>679</v>
      </c>
      <c r="H479" s="7"/>
      <c r="I479" s="7"/>
    </row>
    <row r="480" spans="1:9" x14ac:dyDescent="0.25">
      <c r="A480" s="4" t="str">
        <f>"52785"</f>
        <v>52785</v>
      </c>
      <c r="B480" s="5">
        <v>2</v>
      </c>
      <c r="C480" s="4" t="s">
        <v>6</v>
      </c>
      <c r="D480" s="6">
        <v>12</v>
      </c>
      <c r="E480" s="4" t="s">
        <v>21</v>
      </c>
      <c r="F480" s="6" t="s">
        <v>680</v>
      </c>
      <c r="G480" s="5" t="s">
        <v>681</v>
      </c>
      <c r="H480" s="7"/>
      <c r="I480" s="7"/>
    </row>
    <row r="481" spans="1:9" x14ac:dyDescent="0.25">
      <c r="A481" s="4" t="str">
        <f>"59430"</f>
        <v>59430</v>
      </c>
      <c r="B481" s="5">
        <v>5</v>
      </c>
      <c r="C481" s="4" t="s">
        <v>6</v>
      </c>
      <c r="D481" s="6">
        <v>5</v>
      </c>
      <c r="E481" s="4" t="s">
        <v>71</v>
      </c>
      <c r="F481" s="6" t="s">
        <v>9</v>
      </c>
      <c r="G481" s="5" t="s">
        <v>72</v>
      </c>
      <c r="H481" s="7"/>
      <c r="I481" s="7"/>
    </row>
    <row r="482" spans="1:9" x14ac:dyDescent="0.25">
      <c r="A482" s="4" t="str">
        <f>"59459"</f>
        <v>59459</v>
      </c>
      <c r="B482" s="5">
        <v>5</v>
      </c>
      <c r="C482" s="4" t="s">
        <v>6</v>
      </c>
      <c r="D482" s="6">
        <v>6</v>
      </c>
      <c r="E482" s="4" t="s">
        <v>682</v>
      </c>
      <c r="F482" s="6" t="s">
        <v>9</v>
      </c>
      <c r="G482" s="5" t="s">
        <v>683</v>
      </c>
      <c r="H482" s="7"/>
      <c r="I482" s="7"/>
    </row>
    <row r="483" spans="1:9" x14ac:dyDescent="0.25">
      <c r="A483" s="4" t="str">
        <f>"59560"</f>
        <v>59560</v>
      </c>
      <c r="B483" s="5">
        <v>6</v>
      </c>
      <c r="C483" s="4" t="s">
        <v>6</v>
      </c>
      <c r="D483" s="6">
        <v>8</v>
      </c>
      <c r="E483" s="4" t="s">
        <v>684</v>
      </c>
      <c r="F483" s="6" t="s">
        <v>10</v>
      </c>
      <c r="G483" s="5" t="s">
        <v>685</v>
      </c>
      <c r="H483" s="7"/>
      <c r="I483" s="7"/>
    </row>
    <row r="484" spans="1:9" x14ac:dyDescent="0.25">
      <c r="A484" s="4" t="str">
        <f>"59740"</f>
        <v>59740</v>
      </c>
      <c r="B484" s="5">
        <v>2</v>
      </c>
      <c r="C484" s="4" t="s">
        <v>8</v>
      </c>
      <c r="D484" s="6">
        <v>6</v>
      </c>
      <c r="E484" s="4" t="s">
        <v>101</v>
      </c>
      <c r="F484" s="6" t="s">
        <v>686</v>
      </c>
      <c r="G484" s="5" t="s">
        <v>687</v>
      </c>
      <c r="H484" s="7"/>
      <c r="I484" s="7"/>
    </row>
    <row r="485" spans="1:9" ht="30" x14ac:dyDescent="0.25">
      <c r="A485" s="4"/>
      <c r="B485" s="5"/>
      <c r="C485" s="4"/>
      <c r="D485" s="6" t="s">
        <v>886</v>
      </c>
      <c r="E485" s="4"/>
      <c r="F485" s="6"/>
      <c r="G485" s="5" t="s">
        <v>874</v>
      </c>
      <c r="H485" s="7"/>
      <c r="I485" s="7"/>
    </row>
    <row r="486" spans="1:9" ht="30" x14ac:dyDescent="0.25">
      <c r="A486" s="4" t="str">
        <f>"59784"</f>
        <v>59784</v>
      </c>
      <c r="B486" s="5">
        <v>2</v>
      </c>
      <c r="C486" s="4" t="s">
        <v>8</v>
      </c>
      <c r="D486" s="6">
        <v>4</v>
      </c>
      <c r="E486" s="4" t="s">
        <v>198</v>
      </c>
      <c r="F486" s="6" t="s">
        <v>688</v>
      </c>
      <c r="G486" s="5" t="s">
        <v>689</v>
      </c>
      <c r="H486" s="7"/>
      <c r="I486" s="7"/>
    </row>
    <row r="487" spans="1:9" ht="30" x14ac:dyDescent="0.25">
      <c r="A487" s="4"/>
      <c r="B487" s="5"/>
      <c r="C487" s="4"/>
      <c r="D487" s="6" t="s">
        <v>886</v>
      </c>
      <c r="E487" s="4"/>
      <c r="F487" s="6"/>
      <c r="G487" s="5" t="s">
        <v>875</v>
      </c>
      <c r="H487" s="7"/>
      <c r="I487" s="7"/>
    </row>
    <row r="488" spans="1:9" ht="30" x14ac:dyDescent="0.25">
      <c r="A488" s="4" t="str">
        <f>"59930"</f>
        <v>59930</v>
      </c>
      <c r="B488" s="5">
        <v>2</v>
      </c>
      <c r="C488" s="4" t="s">
        <v>6</v>
      </c>
      <c r="D488" s="6">
        <v>24</v>
      </c>
      <c r="E488" s="4" t="s">
        <v>500</v>
      </c>
      <c r="F488" s="6" t="s">
        <v>128</v>
      </c>
      <c r="G488" s="5" t="s">
        <v>690</v>
      </c>
      <c r="H488" s="7"/>
      <c r="I488" s="7"/>
    </row>
    <row r="489" spans="1:9" ht="30" x14ac:dyDescent="0.25">
      <c r="A489" s="4" t="str">
        <f>"60230"</f>
        <v>60230</v>
      </c>
      <c r="B489" s="5">
        <v>2</v>
      </c>
      <c r="C489" s="4" t="s">
        <v>8</v>
      </c>
      <c r="D489" s="6">
        <v>4</v>
      </c>
      <c r="E489" s="4" t="s">
        <v>198</v>
      </c>
      <c r="F489" s="6" t="s">
        <v>691</v>
      </c>
      <c r="G489" s="5" t="s">
        <v>692</v>
      </c>
      <c r="H489" s="7"/>
      <c r="I489" s="7"/>
    </row>
    <row r="490" spans="1:9" ht="30" x14ac:dyDescent="0.25">
      <c r="A490" s="4"/>
      <c r="B490" s="5"/>
      <c r="C490" s="4"/>
      <c r="D490" s="6" t="s">
        <v>886</v>
      </c>
      <c r="E490" s="4"/>
      <c r="F490" s="6"/>
      <c r="G490" s="5" t="s">
        <v>876</v>
      </c>
      <c r="H490" s="7"/>
      <c r="I490" s="7"/>
    </row>
    <row r="491" spans="1:9" ht="30" x14ac:dyDescent="0.25">
      <c r="A491" s="4" t="str">
        <f>"61040"</f>
        <v>61040</v>
      </c>
      <c r="B491" s="5">
        <v>2</v>
      </c>
      <c r="C491" s="4" t="s">
        <v>8</v>
      </c>
      <c r="D491" s="6">
        <v>10</v>
      </c>
      <c r="E491" s="4" t="s">
        <v>21</v>
      </c>
      <c r="F491" s="6" t="s">
        <v>693</v>
      </c>
      <c r="G491" s="5" t="s">
        <v>694</v>
      </c>
      <c r="H491" s="7"/>
      <c r="I491" s="7"/>
    </row>
    <row r="492" spans="1:9" ht="30" x14ac:dyDescent="0.25">
      <c r="A492" s="4"/>
      <c r="B492" s="5"/>
      <c r="C492" s="4"/>
      <c r="D492" s="6" t="s">
        <v>886</v>
      </c>
      <c r="E492" s="4"/>
      <c r="F492" s="6"/>
      <c r="G492" s="5" t="s">
        <v>877</v>
      </c>
      <c r="H492" s="7"/>
      <c r="I492" s="7"/>
    </row>
    <row r="493" spans="1:9" ht="30" x14ac:dyDescent="0.25">
      <c r="A493" s="4" t="str">
        <f>"61216"</f>
        <v>61216</v>
      </c>
      <c r="B493" s="5">
        <v>2</v>
      </c>
      <c r="C493" s="4" t="s">
        <v>6</v>
      </c>
      <c r="D493" s="6">
        <v>1</v>
      </c>
      <c r="E493" s="4" t="s">
        <v>7</v>
      </c>
      <c r="F493" s="6" t="s">
        <v>695</v>
      </c>
      <c r="G493" s="5" t="s">
        <v>696</v>
      </c>
      <c r="H493" s="7"/>
      <c r="I493" s="7"/>
    </row>
    <row r="494" spans="1:9" x14ac:dyDescent="0.25">
      <c r="A494" s="4" t="str">
        <f>"61570"</f>
        <v>61570</v>
      </c>
      <c r="B494" s="5">
        <v>2</v>
      </c>
      <c r="C494" s="4" t="s">
        <v>6</v>
      </c>
      <c r="D494" s="6">
        <v>60</v>
      </c>
      <c r="E494" s="4" t="s">
        <v>697</v>
      </c>
      <c r="F494" s="6" t="s">
        <v>366</v>
      </c>
      <c r="G494" s="5" t="s">
        <v>698</v>
      </c>
      <c r="H494" s="7"/>
      <c r="I494" s="7"/>
    </row>
    <row r="495" spans="1:9" x14ac:dyDescent="0.25">
      <c r="A495" s="4" t="str">
        <f>"61571"</f>
        <v>61571</v>
      </c>
      <c r="B495" s="5">
        <v>2</v>
      </c>
      <c r="C495" s="4" t="s">
        <v>6</v>
      </c>
      <c r="D495" s="6">
        <v>60</v>
      </c>
      <c r="E495" s="4" t="s">
        <v>697</v>
      </c>
      <c r="F495" s="6" t="s">
        <v>366</v>
      </c>
      <c r="G495" s="5" t="s">
        <v>699</v>
      </c>
      <c r="H495" s="7"/>
      <c r="I495" s="7"/>
    </row>
    <row r="496" spans="1:9" x14ac:dyDescent="0.25">
      <c r="A496" s="4" t="str">
        <f>"61572"</f>
        <v>61572</v>
      </c>
      <c r="B496" s="5">
        <v>2</v>
      </c>
      <c r="C496" s="4" t="s">
        <v>6</v>
      </c>
      <c r="D496" s="6">
        <v>60</v>
      </c>
      <c r="E496" s="4" t="s">
        <v>697</v>
      </c>
      <c r="F496" s="6" t="s">
        <v>366</v>
      </c>
      <c r="G496" s="5" t="s">
        <v>700</v>
      </c>
      <c r="H496" s="7"/>
      <c r="I496" s="7"/>
    </row>
    <row r="497" spans="1:9" x14ac:dyDescent="0.25">
      <c r="A497" s="4" t="str">
        <f>"61573"</f>
        <v>61573</v>
      </c>
      <c r="B497" s="5">
        <v>2</v>
      </c>
      <c r="C497" s="4" t="s">
        <v>6</v>
      </c>
      <c r="D497" s="6">
        <v>72</v>
      </c>
      <c r="E497" s="4" t="s">
        <v>697</v>
      </c>
      <c r="F497" s="6" t="s">
        <v>701</v>
      </c>
      <c r="G497" s="5" t="s">
        <v>702</v>
      </c>
      <c r="H497" s="7"/>
      <c r="I497" s="7"/>
    </row>
    <row r="498" spans="1:9" ht="30" x14ac:dyDescent="0.25">
      <c r="A498" s="4" t="str">
        <f>"61574"</f>
        <v>61574</v>
      </c>
      <c r="B498" s="5">
        <v>2</v>
      </c>
      <c r="C498" s="4" t="s">
        <v>6</v>
      </c>
      <c r="D498" s="6">
        <v>60</v>
      </c>
      <c r="E498" s="4" t="s">
        <v>703</v>
      </c>
      <c r="F498" s="6" t="s">
        <v>704</v>
      </c>
      <c r="G498" s="5" t="s">
        <v>705</v>
      </c>
      <c r="H498" s="7"/>
      <c r="I498" s="7"/>
    </row>
    <row r="499" spans="1:9" ht="30" x14ac:dyDescent="0.25">
      <c r="A499" s="4" t="str">
        <f>"61578"</f>
        <v>61578</v>
      </c>
      <c r="B499" s="5">
        <v>2</v>
      </c>
      <c r="C499" s="4" t="s">
        <v>6</v>
      </c>
      <c r="D499" s="6">
        <v>104</v>
      </c>
      <c r="E499" s="4" t="s">
        <v>706</v>
      </c>
      <c r="F499" s="6" t="s">
        <v>707</v>
      </c>
      <c r="G499" s="5" t="s">
        <v>708</v>
      </c>
      <c r="H499" s="7"/>
      <c r="I499" s="7"/>
    </row>
    <row r="500" spans="1:9" x14ac:dyDescent="0.25">
      <c r="A500" s="4" t="str">
        <f>"61585"</f>
        <v>61585</v>
      </c>
      <c r="B500" s="5">
        <v>2</v>
      </c>
      <c r="C500" s="4" t="s">
        <v>6</v>
      </c>
      <c r="D500" s="6">
        <v>72</v>
      </c>
      <c r="E500" s="4" t="s">
        <v>170</v>
      </c>
      <c r="F500" s="6" t="s">
        <v>709</v>
      </c>
      <c r="G500" s="5" t="s">
        <v>710</v>
      </c>
      <c r="H500" s="7"/>
      <c r="I500" s="7"/>
    </row>
    <row r="501" spans="1:9" ht="30" x14ac:dyDescent="0.25">
      <c r="A501" s="4" t="str">
        <f>"61587"</f>
        <v>61587</v>
      </c>
      <c r="B501" s="5">
        <v>2</v>
      </c>
      <c r="C501" s="4" t="s">
        <v>6</v>
      </c>
      <c r="D501" s="6">
        <v>72</v>
      </c>
      <c r="E501" s="4" t="s">
        <v>170</v>
      </c>
      <c r="F501" s="6" t="s">
        <v>709</v>
      </c>
      <c r="G501" s="5" t="s">
        <v>711</v>
      </c>
      <c r="H501" s="7"/>
      <c r="I501" s="7"/>
    </row>
    <row r="502" spans="1:9" x14ac:dyDescent="0.25">
      <c r="A502" s="4" t="str">
        <f>"61610"</f>
        <v>61610</v>
      </c>
      <c r="B502" s="5">
        <v>2</v>
      </c>
      <c r="C502" s="4" t="s">
        <v>6</v>
      </c>
      <c r="D502" s="6">
        <v>88</v>
      </c>
      <c r="E502" s="4" t="s">
        <v>170</v>
      </c>
      <c r="F502" s="6" t="s">
        <v>369</v>
      </c>
      <c r="G502" s="5" t="s">
        <v>712</v>
      </c>
      <c r="H502" s="7"/>
      <c r="I502" s="7"/>
    </row>
    <row r="503" spans="1:9" ht="30" x14ac:dyDescent="0.25">
      <c r="A503" s="4" t="str">
        <f>"61616"</f>
        <v>61616</v>
      </c>
      <c r="B503" s="5">
        <v>2</v>
      </c>
      <c r="C503" s="4" t="s">
        <v>6</v>
      </c>
      <c r="D503" s="6">
        <v>104</v>
      </c>
      <c r="E503" s="4" t="s">
        <v>703</v>
      </c>
      <c r="F503" s="6" t="s">
        <v>371</v>
      </c>
      <c r="G503" s="5" t="s">
        <v>713</v>
      </c>
      <c r="H503" s="7"/>
      <c r="I503" s="7"/>
    </row>
    <row r="504" spans="1:9" ht="30" x14ac:dyDescent="0.25">
      <c r="A504" s="4" t="str">
        <f>"61750"</f>
        <v>61750</v>
      </c>
      <c r="B504" s="5">
        <v>2</v>
      </c>
      <c r="C504" s="4" t="s">
        <v>6</v>
      </c>
      <c r="D504" s="6">
        <v>60</v>
      </c>
      <c r="E504" s="4" t="s">
        <v>714</v>
      </c>
      <c r="F504" s="6" t="s">
        <v>715</v>
      </c>
      <c r="G504" s="5" t="s">
        <v>716</v>
      </c>
      <c r="H504" s="7"/>
      <c r="I504" s="7"/>
    </row>
    <row r="505" spans="1:9" ht="30" x14ac:dyDescent="0.25">
      <c r="A505" s="4" t="str">
        <f>"61810"</f>
        <v>61810</v>
      </c>
      <c r="B505" s="5">
        <v>2</v>
      </c>
      <c r="C505" s="4" t="s">
        <v>6</v>
      </c>
      <c r="D505" s="6">
        <v>12</v>
      </c>
      <c r="E505" s="4" t="s">
        <v>463</v>
      </c>
      <c r="F505" s="6" t="s">
        <v>717</v>
      </c>
      <c r="G505" s="5" t="s">
        <v>718</v>
      </c>
      <c r="H505" s="7"/>
      <c r="I505" s="7"/>
    </row>
    <row r="506" spans="1:9" ht="30" x14ac:dyDescent="0.25">
      <c r="A506" s="4" t="str">
        <f>"62140"</f>
        <v>62140</v>
      </c>
      <c r="B506" s="5">
        <v>4</v>
      </c>
      <c r="C506" s="4" t="s">
        <v>6</v>
      </c>
      <c r="D506" s="6">
        <v>4</v>
      </c>
      <c r="E506" s="4" t="s">
        <v>719</v>
      </c>
      <c r="F506" s="6" t="s">
        <v>720</v>
      </c>
      <c r="G506" s="5" t="s">
        <v>721</v>
      </c>
      <c r="H506" s="7"/>
      <c r="I506" s="7"/>
    </row>
    <row r="507" spans="1:9" x14ac:dyDescent="0.25">
      <c r="A507" s="4" t="str">
        <f>"62347"</f>
        <v>62347</v>
      </c>
      <c r="B507" s="5">
        <v>2</v>
      </c>
      <c r="C507" s="4" t="s">
        <v>6</v>
      </c>
      <c r="D507" s="6">
        <v>8</v>
      </c>
      <c r="E507" s="4" t="s">
        <v>463</v>
      </c>
      <c r="F507" s="6" t="s">
        <v>704</v>
      </c>
      <c r="G507" s="5" t="s">
        <v>722</v>
      </c>
      <c r="H507" s="7"/>
      <c r="I507" s="7"/>
    </row>
    <row r="508" spans="1:9" x14ac:dyDescent="0.25">
      <c r="A508" s="4" t="str">
        <f>"62410"</f>
        <v>62410</v>
      </c>
      <c r="B508" s="5">
        <v>2</v>
      </c>
      <c r="C508" s="4" t="s">
        <v>6</v>
      </c>
      <c r="D508" s="6">
        <v>50</v>
      </c>
      <c r="E508" s="4" t="s">
        <v>465</v>
      </c>
      <c r="F508" s="6" t="s">
        <v>723</v>
      </c>
      <c r="G508" s="5" t="s">
        <v>724</v>
      </c>
      <c r="H508" s="7"/>
      <c r="I508" s="7"/>
    </row>
    <row r="509" spans="1:9" ht="30" x14ac:dyDescent="0.25">
      <c r="A509" s="4" t="str">
        <f>"52808"</f>
        <v>52808</v>
      </c>
      <c r="B509" s="5">
        <v>2</v>
      </c>
      <c r="C509" s="4" t="s">
        <v>6</v>
      </c>
      <c r="D509" s="6">
        <v>2</v>
      </c>
      <c r="E509" s="4" t="s">
        <v>673</v>
      </c>
      <c r="F509" s="6" t="s">
        <v>674</v>
      </c>
      <c r="G509" s="5" t="s">
        <v>725</v>
      </c>
      <c r="H509" s="7"/>
      <c r="I509" s="7"/>
    </row>
    <row r="510" spans="1:9" x14ac:dyDescent="0.25">
      <c r="A510" s="4" t="str">
        <f>"52810"</f>
        <v>52810</v>
      </c>
      <c r="B510" s="5">
        <v>2</v>
      </c>
      <c r="C510" s="4" t="s">
        <v>6</v>
      </c>
      <c r="D510" s="6">
        <v>20</v>
      </c>
      <c r="E510" s="4" t="s">
        <v>21</v>
      </c>
      <c r="F510" s="6" t="s">
        <v>669</v>
      </c>
      <c r="G510" s="5" t="s">
        <v>726</v>
      </c>
      <c r="H510" s="7"/>
      <c r="I510" s="7"/>
    </row>
    <row r="511" spans="1:9" ht="30" x14ac:dyDescent="0.25">
      <c r="A511" s="4" t="str">
        <f>"52821"</f>
        <v>52821</v>
      </c>
      <c r="B511" s="5">
        <v>2</v>
      </c>
      <c r="C511" s="4" t="s">
        <v>6</v>
      </c>
      <c r="D511" s="6">
        <v>12</v>
      </c>
      <c r="E511" s="4" t="s">
        <v>425</v>
      </c>
      <c r="F511" s="6" t="s">
        <v>674</v>
      </c>
      <c r="G511" s="5" t="s">
        <v>727</v>
      </c>
      <c r="H511" s="7"/>
      <c r="I511" s="7"/>
    </row>
    <row r="512" spans="1:9" x14ac:dyDescent="0.25">
      <c r="A512" s="4" t="str">
        <f>"53520"</f>
        <v>53520</v>
      </c>
      <c r="B512" s="5">
        <v>2</v>
      </c>
      <c r="C512" s="4" t="s">
        <v>8</v>
      </c>
      <c r="D512" s="6">
        <v>4</v>
      </c>
      <c r="E512" s="4" t="s">
        <v>11</v>
      </c>
      <c r="F512" s="6" t="s">
        <v>340</v>
      </c>
      <c r="G512" s="5" t="s">
        <v>728</v>
      </c>
      <c r="H512" s="7"/>
      <c r="I512" s="7"/>
    </row>
    <row r="513" spans="1:9" x14ac:dyDescent="0.25">
      <c r="A513" s="4"/>
      <c r="B513" s="5"/>
      <c r="C513" s="4"/>
      <c r="D513" s="6" t="s">
        <v>886</v>
      </c>
      <c r="E513" s="4"/>
      <c r="F513" s="6"/>
      <c r="G513" s="5" t="s">
        <v>878</v>
      </c>
      <c r="H513" s="7"/>
      <c r="I513" s="7"/>
    </row>
    <row r="514" spans="1:9" x14ac:dyDescent="0.25">
      <c r="A514" s="4" t="str">
        <f>"54495"</f>
        <v>54495</v>
      </c>
      <c r="B514" s="5">
        <v>10</v>
      </c>
      <c r="C514" s="4" t="s">
        <v>6</v>
      </c>
      <c r="D514" s="6">
        <v>2</v>
      </c>
      <c r="E514" s="4" t="s">
        <v>729</v>
      </c>
      <c r="F514" s="6" t="s">
        <v>333</v>
      </c>
      <c r="G514" s="5" t="s">
        <v>730</v>
      </c>
      <c r="H514" s="7"/>
      <c r="I514" s="7"/>
    </row>
    <row r="515" spans="1:9" ht="30" x14ac:dyDescent="0.25">
      <c r="A515" s="4" t="str">
        <f>"54619"</f>
        <v>54619</v>
      </c>
      <c r="B515" s="5">
        <v>1</v>
      </c>
      <c r="C515" s="4" t="s">
        <v>6</v>
      </c>
      <c r="D515" s="6">
        <v>2</v>
      </c>
      <c r="E515" s="4" t="s">
        <v>7</v>
      </c>
      <c r="F515" s="6" t="s">
        <v>731</v>
      </c>
      <c r="G515" s="5" t="s">
        <v>732</v>
      </c>
      <c r="H515" s="7"/>
      <c r="I515" s="7"/>
    </row>
    <row r="516" spans="1:9" x14ac:dyDescent="0.25">
      <c r="A516" s="4" t="str">
        <f>"56688"</f>
        <v>56688</v>
      </c>
      <c r="B516" s="5">
        <v>3</v>
      </c>
      <c r="C516" s="4" t="s">
        <v>6</v>
      </c>
      <c r="D516" s="6">
        <v>2</v>
      </c>
      <c r="E516" s="4" t="s">
        <v>7</v>
      </c>
      <c r="F516" s="6" t="s">
        <v>10</v>
      </c>
      <c r="G516" s="5" t="s">
        <v>733</v>
      </c>
      <c r="H516" s="7"/>
      <c r="I516" s="7"/>
    </row>
    <row r="517" spans="1:9" x14ac:dyDescent="0.25">
      <c r="A517" s="4" t="str">
        <f>"56758"</f>
        <v>56758</v>
      </c>
      <c r="B517" s="5">
        <v>3</v>
      </c>
      <c r="C517" s="4" t="s">
        <v>6</v>
      </c>
      <c r="D517" s="6">
        <v>4</v>
      </c>
      <c r="E517" s="4" t="s">
        <v>734</v>
      </c>
      <c r="F517" s="6" t="s">
        <v>10</v>
      </c>
      <c r="G517" s="5" t="s">
        <v>735</v>
      </c>
      <c r="H517" s="7"/>
      <c r="I517" s="7"/>
    </row>
    <row r="518" spans="1:9" x14ac:dyDescent="0.25">
      <c r="A518" s="4" t="str">
        <f>"57023"</f>
        <v>57023</v>
      </c>
      <c r="B518" s="5">
        <v>1</v>
      </c>
      <c r="C518" s="4" t="s">
        <v>8</v>
      </c>
      <c r="D518" s="6">
        <v>3</v>
      </c>
      <c r="E518" s="4" t="s">
        <v>592</v>
      </c>
      <c r="F518" s="6" t="s">
        <v>736</v>
      </c>
      <c r="G518" s="5" t="s">
        <v>737</v>
      </c>
      <c r="H518" s="7"/>
      <c r="I518" s="7"/>
    </row>
    <row r="519" spans="1:9" ht="30" x14ac:dyDescent="0.25">
      <c r="A519" s="4"/>
      <c r="B519" s="5"/>
      <c r="C519" s="4"/>
      <c r="D519" s="6" t="s">
        <v>886</v>
      </c>
      <c r="E519" s="4"/>
      <c r="F519" s="6"/>
      <c r="G519" s="5" t="s">
        <v>879</v>
      </c>
      <c r="H519" s="7"/>
      <c r="I519" s="7"/>
    </row>
    <row r="520" spans="1:9" x14ac:dyDescent="0.25">
      <c r="A520" s="4" t="str">
        <f>"57070"</f>
        <v>57070</v>
      </c>
      <c r="B520" s="5">
        <v>1</v>
      </c>
      <c r="C520" s="4" t="s">
        <v>8</v>
      </c>
      <c r="D520" s="6">
        <v>3</v>
      </c>
      <c r="E520" s="4" t="s">
        <v>738</v>
      </c>
      <c r="F520" s="6" t="s">
        <v>736</v>
      </c>
      <c r="G520" s="5" t="s">
        <v>739</v>
      </c>
      <c r="H520" s="7"/>
      <c r="I520" s="7"/>
    </row>
    <row r="521" spans="1:9" ht="30" x14ac:dyDescent="0.25">
      <c r="A521" s="4"/>
      <c r="B521" s="5"/>
      <c r="C521" s="4"/>
      <c r="D521" s="6" t="s">
        <v>886</v>
      </c>
      <c r="E521" s="4"/>
      <c r="F521" s="6"/>
      <c r="G521" s="5" t="s">
        <v>880</v>
      </c>
      <c r="H521" s="7"/>
      <c r="I521" s="7"/>
    </row>
    <row r="522" spans="1:9" ht="30" x14ac:dyDescent="0.25">
      <c r="A522" s="4" t="str">
        <f>"57134"</f>
        <v>57134</v>
      </c>
      <c r="B522" s="5">
        <v>6</v>
      </c>
      <c r="C522" s="4" t="s">
        <v>6</v>
      </c>
      <c r="D522" s="6">
        <v>1</v>
      </c>
      <c r="E522" s="4" t="s">
        <v>89</v>
      </c>
      <c r="F522" s="6" t="s">
        <v>740</v>
      </c>
      <c r="G522" s="5" t="s">
        <v>741</v>
      </c>
      <c r="H522" s="7"/>
      <c r="I522" s="7"/>
    </row>
    <row r="523" spans="1:9" x14ac:dyDescent="0.25">
      <c r="A523" s="4" t="str">
        <f>"57300"</f>
        <v>57300</v>
      </c>
      <c r="B523" s="5">
        <v>4</v>
      </c>
      <c r="C523" s="4" t="s">
        <v>6</v>
      </c>
      <c r="D523" s="6">
        <v>1</v>
      </c>
      <c r="E523" s="4" t="s">
        <v>89</v>
      </c>
      <c r="F523" s="6" t="s">
        <v>742</v>
      </c>
      <c r="G523" s="5" t="s">
        <v>743</v>
      </c>
      <c r="H523" s="7"/>
      <c r="I523" s="7"/>
    </row>
    <row r="524" spans="1:9" x14ac:dyDescent="0.25">
      <c r="A524" s="4" t="str">
        <f>"57310"</f>
        <v>57310</v>
      </c>
      <c r="B524" s="5">
        <v>4</v>
      </c>
      <c r="C524" s="4" t="s">
        <v>6</v>
      </c>
      <c r="D524" s="6">
        <v>1</v>
      </c>
      <c r="E524" s="4" t="s">
        <v>89</v>
      </c>
      <c r="F524" s="6" t="s">
        <v>742</v>
      </c>
      <c r="G524" s="5" t="s">
        <v>744</v>
      </c>
      <c r="H524" s="7"/>
      <c r="I524" s="7"/>
    </row>
    <row r="525" spans="1:9" x14ac:dyDescent="0.25">
      <c r="A525" s="4" t="str">
        <f>"57472"</f>
        <v>57472</v>
      </c>
      <c r="B525" s="5">
        <v>6</v>
      </c>
      <c r="C525" s="4" t="s">
        <v>6</v>
      </c>
      <c r="D525" s="6">
        <v>2</v>
      </c>
      <c r="E525" s="4" t="s">
        <v>106</v>
      </c>
      <c r="F525" s="6" t="s">
        <v>340</v>
      </c>
      <c r="G525" s="5" t="s">
        <v>745</v>
      </c>
      <c r="H525" s="7"/>
      <c r="I525" s="7"/>
    </row>
    <row r="526" spans="1:9" ht="30" x14ac:dyDescent="0.25">
      <c r="A526" s="4" t="str">
        <f>"57474"</f>
        <v>57474</v>
      </c>
      <c r="B526" s="5">
        <v>8</v>
      </c>
      <c r="C526" s="4" t="s">
        <v>8</v>
      </c>
      <c r="D526" s="6">
        <v>4</v>
      </c>
      <c r="E526" s="4" t="s">
        <v>79</v>
      </c>
      <c r="F526" s="6" t="s">
        <v>349</v>
      </c>
      <c r="G526" s="5" t="s">
        <v>746</v>
      </c>
      <c r="H526" s="7"/>
      <c r="I526" s="7"/>
    </row>
    <row r="527" spans="1:9" ht="30" x14ac:dyDescent="0.25">
      <c r="A527" s="4"/>
      <c r="B527" s="5"/>
      <c r="C527" s="4"/>
      <c r="D527" s="6" t="s">
        <v>886</v>
      </c>
      <c r="E527" s="4"/>
      <c r="F527" s="6"/>
      <c r="G527" s="5" t="s">
        <v>881</v>
      </c>
      <c r="H527" s="7"/>
      <c r="I527" s="7"/>
    </row>
    <row r="528" spans="1:9" ht="30" x14ac:dyDescent="0.25">
      <c r="A528" s="4" t="str">
        <f>"58523"</f>
        <v>58523</v>
      </c>
      <c r="B528" s="5">
        <v>2</v>
      </c>
      <c r="C528" s="4" t="s">
        <v>6</v>
      </c>
      <c r="D528" s="6">
        <v>2</v>
      </c>
      <c r="E528" s="4" t="s">
        <v>77</v>
      </c>
      <c r="F528" s="6" t="s">
        <v>747</v>
      </c>
      <c r="G528" s="5" t="s">
        <v>748</v>
      </c>
      <c r="H528" s="7"/>
      <c r="I528" s="7"/>
    </row>
    <row r="529" spans="1:9" ht="30" x14ac:dyDescent="0.25">
      <c r="A529" s="4" t="str">
        <f>"58544"</f>
        <v>58544</v>
      </c>
      <c r="B529" s="5">
        <v>2</v>
      </c>
      <c r="C529" s="4" t="s">
        <v>6</v>
      </c>
      <c r="D529" s="6">
        <v>2</v>
      </c>
      <c r="E529" s="4" t="s">
        <v>749</v>
      </c>
      <c r="F529" s="6" t="s">
        <v>747</v>
      </c>
      <c r="G529" s="5" t="s">
        <v>750</v>
      </c>
      <c r="H529" s="7"/>
      <c r="I529" s="7"/>
    </row>
    <row r="530" spans="1:9" ht="30" x14ac:dyDescent="0.25">
      <c r="A530" s="4" t="str">
        <f>"58607"</f>
        <v>58607</v>
      </c>
      <c r="B530" s="5">
        <v>2</v>
      </c>
      <c r="C530" s="4" t="s">
        <v>8</v>
      </c>
      <c r="D530" s="6">
        <v>2</v>
      </c>
      <c r="E530" s="4" t="s">
        <v>751</v>
      </c>
      <c r="F530" s="6" t="s">
        <v>752</v>
      </c>
      <c r="G530" s="5" t="s">
        <v>753</v>
      </c>
      <c r="H530" s="7"/>
      <c r="I530" s="7"/>
    </row>
    <row r="531" spans="1:9" ht="30" x14ac:dyDescent="0.25">
      <c r="A531" s="4"/>
      <c r="B531" s="5"/>
      <c r="C531" s="4"/>
      <c r="D531" s="6" t="s">
        <v>886</v>
      </c>
      <c r="E531" s="4"/>
      <c r="F531" s="6"/>
      <c r="G531" s="5" t="s">
        <v>882</v>
      </c>
      <c r="H531" s="7"/>
      <c r="I531" s="7"/>
    </row>
    <row r="532" spans="1:9" x14ac:dyDescent="0.25">
      <c r="A532" s="4" t="str">
        <f>"59220"</f>
        <v>59220</v>
      </c>
      <c r="B532" s="5">
        <v>3</v>
      </c>
      <c r="C532" s="4" t="s">
        <v>8</v>
      </c>
      <c r="D532" s="6">
        <v>5</v>
      </c>
      <c r="E532" s="4" t="s">
        <v>581</v>
      </c>
      <c r="F532" s="6" t="s">
        <v>9</v>
      </c>
      <c r="G532" s="5" t="s">
        <v>754</v>
      </c>
      <c r="H532" s="7"/>
      <c r="I532" s="7"/>
    </row>
    <row r="533" spans="1:9" x14ac:dyDescent="0.25">
      <c r="A533" s="4"/>
      <c r="B533" s="5"/>
      <c r="C533" s="4"/>
      <c r="D533" s="6" t="s">
        <v>886</v>
      </c>
      <c r="E533" s="4"/>
      <c r="F533" s="6"/>
      <c r="G533" s="5" t="s">
        <v>883</v>
      </c>
      <c r="H533" s="7"/>
      <c r="I533" s="7"/>
    </row>
    <row r="534" spans="1:9" x14ac:dyDescent="0.25">
      <c r="A534" s="4" t="str">
        <f>"59250"</f>
        <v>59250</v>
      </c>
      <c r="B534" s="5">
        <v>6</v>
      </c>
      <c r="C534" s="4" t="s">
        <v>8</v>
      </c>
      <c r="D534" s="6">
        <v>5</v>
      </c>
      <c r="E534" s="4" t="s">
        <v>755</v>
      </c>
      <c r="F534" s="6" t="s">
        <v>9</v>
      </c>
      <c r="G534" s="5" t="s">
        <v>756</v>
      </c>
      <c r="H534" s="7"/>
      <c r="I534" s="7"/>
    </row>
    <row r="535" spans="1:9" ht="30" x14ac:dyDescent="0.25">
      <c r="A535" s="4"/>
      <c r="B535" s="5"/>
      <c r="C535" s="4"/>
      <c r="D535" s="6" t="s">
        <v>886</v>
      </c>
      <c r="E535" s="4"/>
      <c r="F535" s="6"/>
      <c r="G535" s="5" t="s">
        <v>884</v>
      </c>
      <c r="H535" s="7"/>
      <c r="I535" s="7"/>
    </row>
    <row r="536" spans="1:9" x14ac:dyDescent="0.25">
      <c r="A536" s="4" t="str">
        <f>"59290"</f>
        <v>59290</v>
      </c>
      <c r="B536" s="5">
        <v>6</v>
      </c>
      <c r="C536" s="4" t="s">
        <v>8</v>
      </c>
      <c r="D536" s="6">
        <v>7</v>
      </c>
      <c r="E536" s="4" t="s">
        <v>581</v>
      </c>
      <c r="F536" s="6" t="s">
        <v>9</v>
      </c>
      <c r="G536" s="5" t="s">
        <v>757</v>
      </c>
      <c r="H536" s="7"/>
      <c r="I536" s="7"/>
    </row>
    <row r="537" spans="1:9" ht="30" x14ac:dyDescent="0.25">
      <c r="A537" s="4"/>
      <c r="B537" s="5"/>
      <c r="C537" s="4"/>
      <c r="D537" s="6" t="s">
        <v>886</v>
      </c>
      <c r="E537" s="4"/>
      <c r="F537" s="6"/>
      <c r="G537" s="5" t="s">
        <v>885</v>
      </c>
      <c r="H537" s="7"/>
      <c r="I537" s="7"/>
    </row>
    <row r="538" spans="1:9" x14ac:dyDescent="0.25">
      <c r="A538" s="6">
        <v>14632</v>
      </c>
      <c r="B538" s="5">
        <v>5</v>
      </c>
      <c r="C538" s="4" t="s">
        <v>6</v>
      </c>
      <c r="D538" s="6">
        <v>4</v>
      </c>
      <c r="E538" s="4" t="s">
        <v>763</v>
      </c>
      <c r="F538" s="6" t="s">
        <v>762</v>
      </c>
      <c r="G538" s="5" t="s">
        <v>761</v>
      </c>
      <c r="H538" s="7"/>
      <c r="I538" s="7"/>
    </row>
    <row r="539" spans="1:9" x14ac:dyDescent="0.25">
      <c r="A539" s="6">
        <v>14635</v>
      </c>
      <c r="B539" s="16">
        <v>5</v>
      </c>
      <c r="C539" s="6" t="s">
        <v>6</v>
      </c>
      <c r="D539" s="6">
        <v>1</v>
      </c>
      <c r="E539" s="14" t="s">
        <v>766</v>
      </c>
      <c r="F539" s="6" t="s">
        <v>765</v>
      </c>
      <c r="G539" s="13" t="s">
        <v>764</v>
      </c>
      <c r="H539" s="15"/>
      <c r="I539" s="15"/>
    </row>
    <row r="540" spans="1:9" x14ac:dyDescent="0.25">
      <c r="A540" s="6">
        <v>87115</v>
      </c>
      <c r="B540" s="16">
        <v>5</v>
      </c>
      <c r="C540" s="6" t="s">
        <v>6</v>
      </c>
      <c r="D540" s="6">
        <v>12</v>
      </c>
      <c r="E540" s="6" t="s">
        <v>67</v>
      </c>
      <c r="F540" s="6" t="s">
        <v>767</v>
      </c>
      <c r="G540" s="13" t="s">
        <v>768</v>
      </c>
      <c r="H540" s="15"/>
      <c r="I540" s="15"/>
    </row>
    <row r="541" spans="1:9" x14ac:dyDescent="0.25">
      <c r="A541" s="14">
        <v>99596</v>
      </c>
      <c r="B541" s="5">
        <v>2</v>
      </c>
      <c r="C541" s="4" t="s">
        <v>6</v>
      </c>
      <c r="D541" s="6">
        <v>12</v>
      </c>
      <c r="E541" s="12" t="s">
        <v>769</v>
      </c>
      <c r="F541" s="6" t="s">
        <v>770</v>
      </c>
      <c r="G541" s="5" t="s">
        <v>771</v>
      </c>
      <c r="H541" s="7"/>
      <c r="I541" s="7"/>
    </row>
    <row r="542" spans="1:9" x14ac:dyDescent="0.25">
      <c r="A542" s="14">
        <v>99601</v>
      </c>
      <c r="B542" s="5">
        <v>2</v>
      </c>
      <c r="C542" s="4" t="s">
        <v>6</v>
      </c>
      <c r="D542" s="6">
        <v>12</v>
      </c>
      <c r="E542" s="12" t="s">
        <v>769</v>
      </c>
      <c r="F542" s="6" t="s">
        <v>770</v>
      </c>
      <c r="G542" s="5" t="s">
        <v>772</v>
      </c>
      <c r="H542" s="7"/>
      <c r="I542" s="7"/>
    </row>
  </sheetData>
  <pageMargins left="0.7" right="0.7" top="0.75" bottom="0.75" header="0.3" footer="0.3"/>
  <pageSetup orientation="landscape" r:id="rId1"/>
  <headerFooter>
    <oddHeader>&amp;CONC BOCES Culinary Arts Program Supplies Bid #2020-01A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 (2)</vt:lpstr>
      <vt:lpstr>'export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Albano</dc:creator>
  <cp:lastModifiedBy>Annette Hinkley</cp:lastModifiedBy>
  <cp:lastPrinted>2019-11-26T13:55:42Z</cp:lastPrinted>
  <dcterms:created xsi:type="dcterms:W3CDTF">2019-06-26T16:21:06Z</dcterms:created>
  <dcterms:modified xsi:type="dcterms:W3CDTF">2019-11-26T13:56:04Z</dcterms:modified>
</cp:coreProperties>
</file>